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45" windowWidth="15300" windowHeight="7935" activeTab="6"/>
  </bookViews>
  <sheets>
    <sheet name="ЖЭУ 3" sheetId="3" r:id="rId1"/>
    <sheet name="расчеты" sheetId="2" r:id="rId2"/>
    <sheet name="Ленина 1" sheetId="4" r:id="rId3"/>
    <sheet name="Ленина 1А" sheetId="5" r:id="rId4"/>
    <sheet name="Ленина 3" sheetId="6" r:id="rId5"/>
    <sheet name="Ленина 3А" sheetId="7" r:id="rId6"/>
    <sheet name="Ленина 3Б" sheetId="8" r:id="rId7"/>
    <sheet name="Мендел 16" sheetId="9" r:id="rId8"/>
    <sheet name="Мендел 16А" sheetId="10" r:id="rId9"/>
    <sheet name="Мендел 18" sheetId="11" r:id="rId10"/>
    <sheet name="Мендел 20" sheetId="12" r:id="rId11"/>
    <sheet name="Мендел 22" sheetId="36" r:id="rId12"/>
    <sheet name="Мендел 24" sheetId="37" r:id="rId13"/>
    <sheet name="Мендел 24а" sheetId="38" r:id="rId14"/>
    <sheet name="мира 2" sheetId="39" r:id="rId15"/>
    <sheet name="мира 2а" sheetId="40" r:id="rId16"/>
    <sheet name="мира 4" sheetId="41" r:id="rId17"/>
    <sheet name="мира 4а" sheetId="42" r:id="rId18"/>
    <sheet name="мира 6" sheetId="43" r:id="rId19"/>
    <sheet name="мира 6а" sheetId="44" r:id="rId20"/>
    <sheet name="мира 8" sheetId="45" r:id="rId21"/>
    <sheet name="мира 8а" sheetId="46" r:id="rId22"/>
    <sheet name="мира 10" sheetId="47" r:id="rId23"/>
    <sheet name="мира 10а" sheetId="48" r:id="rId24"/>
    <sheet name="мира 12" sheetId="49" r:id="rId25"/>
    <sheet name="мира 12а" sheetId="50" r:id="rId26"/>
    <sheet name="мира 12б" sheetId="51" r:id="rId27"/>
    <sheet name="победы 17а" sheetId="52" r:id="rId28"/>
    <sheet name="победы 19а" sheetId="53" r:id="rId29"/>
    <sheet name="победы 21 и вставка" sheetId="54" r:id="rId30"/>
    <sheet name="победы 21а" sheetId="55" r:id="rId31"/>
    <sheet name="победы 23" sheetId="56" r:id="rId32"/>
    <sheet name="победы 25" sheetId="57" r:id="rId33"/>
    <sheet name="победы 21(вставка)" sheetId="58" r:id="rId34"/>
  </sheets>
  <externalReferences>
    <externalReference r:id="rId35"/>
  </externalReferences>
  <definedNames>
    <definedName name="_xlnm.Print_Area" localSheetId="0">'ЖЭУ 3'!$A$1:$AL$48</definedName>
    <definedName name="_xlnm.Print_Area" localSheetId="2">'Ленина 1'!$A$1:$F$39</definedName>
    <definedName name="_xlnm.Print_Area" localSheetId="3">'Ленина 1А'!$A$1:$F$38</definedName>
    <definedName name="_xlnm.Print_Area" localSheetId="4">'Ленина 3'!$A$1:$F$39</definedName>
    <definedName name="_xlnm.Print_Area" localSheetId="5">'Ленина 3А'!$A$1:$F$39</definedName>
    <definedName name="_xlnm.Print_Area" localSheetId="6">'Ленина 3Б'!$A$1:$F$39</definedName>
    <definedName name="_xlnm.Print_Area" localSheetId="7">'Мендел 16'!$A$1:$F$39</definedName>
    <definedName name="_xlnm.Print_Area" localSheetId="8">'Мендел 16А'!$A$1:$F$39</definedName>
    <definedName name="_xlnm.Print_Area" localSheetId="9">'Мендел 18'!$A$1:$F$39</definedName>
    <definedName name="_xlnm.Print_Area" localSheetId="10">'Мендел 20'!$A$1:$F$38</definedName>
    <definedName name="_xlnm.Print_Area" localSheetId="11">'Мендел 22'!$A$1:$F$38</definedName>
    <definedName name="_xlnm.Print_Area" localSheetId="12">'Мендел 24'!$A$1:$F$38</definedName>
    <definedName name="_xlnm.Print_Area" localSheetId="13">'Мендел 24а'!$A$1:$F$38</definedName>
    <definedName name="_xlnm.Print_Area" localSheetId="22">'мира 10'!$A$1:$F$38</definedName>
    <definedName name="_xlnm.Print_Area" localSheetId="23">'мира 10а'!$A$1:$F$38</definedName>
    <definedName name="_xlnm.Print_Area" localSheetId="24">'мира 12'!$A$1:$F$38</definedName>
    <definedName name="_xlnm.Print_Area" localSheetId="25">'мира 12а'!$A$1:$F$38</definedName>
    <definedName name="_xlnm.Print_Area" localSheetId="26">'мира 12б'!$A$1:$F$38</definedName>
    <definedName name="_xlnm.Print_Area" localSheetId="14">'мира 2'!$A$1:$F$38</definedName>
    <definedName name="_xlnm.Print_Area" localSheetId="15">'мира 2а'!$A$1:$F$38</definedName>
    <definedName name="_xlnm.Print_Area" localSheetId="16">'мира 4'!$A$1:$F$38</definedName>
    <definedName name="_xlnm.Print_Area" localSheetId="17">'мира 4а'!$A$1:$F$38</definedName>
    <definedName name="_xlnm.Print_Area" localSheetId="18">'мира 6'!$A$1:$F$38</definedName>
    <definedName name="_xlnm.Print_Area" localSheetId="19">'мира 6а'!$A$1:$F$38</definedName>
    <definedName name="_xlnm.Print_Area" localSheetId="20">'мира 8'!$A$1:$F$38</definedName>
    <definedName name="_xlnm.Print_Area" localSheetId="21">'мира 8а'!$A$1:$F$38</definedName>
    <definedName name="_xlnm.Print_Area" localSheetId="27">'победы 17а'!$A$1:$F$38</definedName>
    <definedName name="_xlnm.Print_Area" localSheetId="28">'победы 19а'!$A$1:$F$38</definedName>
    <definedName name="_xlnm.Print_Area" localSheetId="29">'победы 21 и вставка'!$A$1:$F$38</definedName>
    <definedName name="_xlnm.Print_Area" localSheetId="33">'победы 21(вставка)'!$A$1:$F$38</definedName>
    <definedName name="_xlnm.Print_Area" localSheetId="30">'победы 21а'!$A$1:$F$38</definedName>
    <definedName name="_xlnm.Print_Area" localSheetId="31">'победы 23'!$A$1:$F$38</definedName>
    <definedName name="_xlnm.Print_Area" localSheetId="32">'победы 25'!$A$1:$F$38</definedName>
  </definedNames>
  <calcPr calcId="144525"/>
</workbook>
</file>

<file path=xl/calcChain.xml><?xml version="1.0" encoding="utf-8"?>
<calcChain xmlns="http://schemas.openxmlformats.org/spreadsheetml/2006/main">
  <c r="F109" i="2" l="1"/>
  <c r="C136" i="2" l="1"/>
  <c r="C102" i="2"/>
  <c r="C66" i="2"/>
  <c r="J5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E5" i="2" s="1"/>
  <c r="C32" i="58" l="1"/>
  <c r="C31" i="58"/>
  <c r="C30" i="58"/>
  <c r="C29" i="58"/>
  <c r="C28" i="58"/>
  <c r="B27" i="58"/>
  <c r="C25" i="58"/>
  <c r="C24" i="58"/>
  <c r="C23" i="58"/>
  <c r="C22" i="58"/>
  <c r="C21" i="58"/>
  <c r="C20" i="58"/>
  <c r="C19" i="58"/>
  <c r="C18" i="58"/>
  <c r="C17" i="58"/>
  <c r="C16" i="58"/>
  <c r="C15" i="58"/>
  <c r="C14" i="58"/>
  <c r="C13" i="58"/>
  <c r="C12" i="58"/>
  <c r="C11" i="58"/>
  <c r="C10" i="58"/>
  <c r="C9" i="58"/>
  <c r="C8" i="58"/>
  <c r="C7" i="58"/>
  <c r="B4" i="58"/>
  <c r="C32" i="57"/>
  <c r="C31" i="57"/>
  <c r="C30" i="57"/>
  <c r="C29" i="57"/>
  <c r="C28" i="57"/>
  <c r="B27" i="57"/>
  <c r="C25" i="57"/>
  <c r="C24" i="57"/>
  <c r="C23" i="57"/>
  <c r="C22" i="57"/>
  <c r="C21" i="57"/>
  <c r="C20" i="57"/>
  <c r="C19" i="57"/>
  <c r="C18" i="57"/>
  <c r="C17" i="57"/>
  <c r="C16" i="57"/>
  <c r="C15" i="57"/>
  <c r="C14" i="57"/>
  <c r="C13" i="57"/>
  <c r="C12" i="57"/>
  <c r="C11" i="57"/>
  <c r="C10" i="57"/>
  <c r="C9" i="57"/>
  <c r="C8" i="57"/>
  <c r="C7" i="57"/>
  <c r="B4" i="57"/>
  <c r="C32" i="56"/>
  <c r="C31" i="56"/>
  <c r="C30" i="56"/>
  <c r="C29" i="56"/>
  <c r="C28" i="56"/>
  <c r="B27" i="56"/>
  <c r="C25" i="56"/>
  <c r="C24" i="56"/>
  <c r="C23" i="56"/>
  <c r="C22" i="56"/>
  <c r="C21" i="56"/>
  <c r="C20" i="56"/>
  <c r="C19" i="56"/>
  <c r="C18" i="56"/>
  <c r="C17" i="56"/>
  <c r="C16" i="56"/>
  <c r="C15" i="56"/>
  <c r="C14" i="56"/>
  <c r="C13" i="56"/>
  <c r="C12" i="56"/>
  <c r="C11" i="56"/>
  <c r="C10" i="56"/>
  <c r="C9" i="56"/>
  <c r="C8" i="56"/>
  <c r="C7" i="56"/>
  <c r="B4" i="56"/>
  <c r="C32" i="55"/>
  <c r="C31" i="55"/>
  <c r="C30" i="55"/>
  <c r="C29" i="55"/>
  <c r="C28" i="55"/>
  <c r="B27" i="55"/>
  <c r="C25" i="55"/>
  <c r="C24" i="55"/>
  <c r="C23" i="55"/>
  <c r="C22" i="55"/>
  <c r="C21" i="55"/>
  <c r="C20" i="55"/>
  <c r="C19" i="55"/>
  <c r="C18" i="55"/>
  <c r="C17" i="55"/>
  <c r="C16" i="55"/>
  <c r="C15" i="55"/>
  <c r="C14" i="55"/>
  <c r="C13" i="55"/>
  <c r="C12" i="55"/>
  <c r="C11" i="55"/>
  <c r="C10" i="55"/>
  <c r="C9" i="55"/>
  <c r="C8" i="55"/>
  <c r="C7" i="55"/>
  <c r="B4" i="55"/>
  <c r="C32" i="54"/>
  <c r="C31" i="54"/>
  <c r="C30" i="54"/>
  <c r="C29" i="54"/>
  <c r="C28" i="54"/>
  <c r="B27" i="54"/>
  <c r="C25" i="54"/>
  <c r="C24" i="54"/>
  <c r="C23" i="54"/>
  <c r="C22" i="54"/>
  <c r="C21" i="54"/>
  <c r="C20" i="54"/>
  <c r="C19" i="54"/>
  <c r="C18" i="54"/>
  <c r="C17" i="54"/>
  <c r="C16" i="54"/>
  <c r="C15" i="54"/>
  <c r="C14" i="54"/>
  <c r="C13" i="54"/>
  <c r="C12" i="54"/>
  <c r="C11" i="54"/>
  <c r="C10" i="54"/>
  <c r="C9" i="54"/>
  <c r="C8" i="54"/>
  <c r="C7" i="54"/>
  <c r="B4" i="54"/>
  <c r="C32" i="53"/>
  <c r="C31" i="53"/>
  <c r="C30" i="53"/>
  <c r="C29" i="53"/>
  <c r="C28" i="53"/>
  <c r="B27" i="53"/>
  <c r="C25" i="53"/>
  <c r="C24" i="53"/>
  <c r="C23" i="53"/>
  <c r="C22" i="53"/>
  <c r="C21" i="53"/>
  <c r="C20" i="53"/>
  <c r="C19" i="53"/>
  <c r="C18" i="53"/>
  <c r="C17" i="53"/>
  <c r="C16" i="53"/>
  <c r="C15" i="53"/>
  <c r="C14" i="53"/>
  <c r="C13" i="53"/>
  <c r="C12" i="53"/>
  <c r="C11" i="53"/>
  <c r="C10" i="53"/>
  <c r="C9" i="53"/>
  <c r="C8" i="53"/>
  <c r="C7" i="53"/>
  <c r="B4" i="53"/>
  <c r="C32" i="52"/>
  <c r="C31" i="52"/>
  <c r="C30" i="52"/>
  <c r="C29" i="52"/>
  <c r="C28" i="52"/>
  <c r="B27" i="52"/>
  <c r="C25" i="52"/>
  <c r="C24" i="52"/>
  <c r="C23" i="52"/>
  <c r="C22" i="52"/>
  <c r="C21" i="52"/>
  <c r="C20" i="52"/>
  <c r="C19" i="52"/>
  <c r="C18" i="52"/>
  <c r="C17" i="52"/>
  <c r="C16" i="52"/>
  <c r="C15" i="52"/>
  <c r="C14" i="52"/>
  <c r="C13" i="52"/>
  <c r="C12" i="52"/>
  <c r="C11" i="52"/>
  <c r="C10" i="52"/>
  <c r="C9" i="52"/>
  <c r="C8" i="52"/>
  <c r="C7" i="52"/>
  <c r="B4" i="52"/>
  <c r="C32" i="51"/>
  <c r="C31" i="51"/>
  <c r="C30" i="51"/>
  <c r="C29" i="51"/>
  <c r="C28" i="51"/>
  <c r="B27" i="51"/>
  <c r="C25" i="51"/>
  <c r="C24" i="51"/>
  <c r="C23" i="51"/>
  <c r="C22" i="51"/>
  <c r="C21" i="51"/>
  <c r="C20" i="51"/>
  <c r="C19" i="51"/>
  <c r="C18" i="51"/>
  <c r="C17" i="51"/>
  <c r="C16" i="51"/>
  <c r="C15" i="51"/>
  <c r="C14" i="51"/>
  <c r="C13" i="51"/>
  <c r="C12" i="51"/>
  <c r="C11" i="51"/>
  <c r="C10" i="51"/>
  <c r="C9" i="51"/>
  <c r="C8" i="51"/>
  <c r="C7" i="51"/>
  <c r="B4" i="51"/>
  <c r="C32" i="50"/>
  <c r="C31" i="50"/>
  <c r="C30" i="50"/>
  <c r="C29" i="50"/>
  <c r="C28" i="50"/>
  <c r="B27" i="50"/>
  <c r="C25" i="50"/>
  <c r="C24" i="50"/>
  <c r="C23" i="50"/>
  <c r="C22" i="50"/>
  <c r="C21" i="50"/>
  <c r="C20" i="50"/>
  <c r="C19" i="50"/>
  <c r="C18" i="50"/>
  <c r="C17" i="50"/>
  <c r="C16" i="50"/>
  <c r="C15" i="50"/>
  <c r="C14" i="50"/>
  <c r="C13" i="50"/>
  <c r="C12" i="50"/>
  <c r="C11" i="50"/>
  <c r="C10" i="50"/>
  <c r="C9" i="50"/>
  <c r="C8" i="50"/>
  <c r="C7" i="50"/>
  <c r="B4" i="50"/>
  <c r="C32" i="49"/>
  <c r="C31" i="49"/>
  <c r="C30" i="49"/>
  <c r="C29" i="49"/>
  <c r="C28" i="49"/>
  <c r="B27" i="49"/>
  <c r="C25" i="49"/>
  <c r="C24" i="49"/>
  <c r="C23" i="49"/>
  <c r="C22" i="49"/>
  <c r="C21" i="49"/>
  <c r="C20" i="49"/>
  <c r="C19" i="49"/>
  <c r="C18" i="49"/>
  <c r="C17" i="49"/>
  <c r="C16" i="49"/>
  <c r="C15" i="49"/>
  <c r="C14" i="49"/>
  <c r="C13" i="49"/>
  <c r="C12" i="49"/>
  <c r="C11" i="49"/>
  <c r="C10" i="49"/>
  <c r="C9" i="49"/>
  <c r="C8" i="49"/>
  <c r="C7" i="49"/>
  <c r="B4" i="49"/>
  <c r="C32" i="48"/>
  <c r="C31" i="48"/>
  <c r="C30" i="48"/>
  <c r="C29" i="48"/>
  <c r="C28" i="48"/>
  <c r="B27" i="48"/>
  <c r="C25" i="48"/>
  <c r="C24" i="48"/>
  <c r="C23" i="48"/>
  <c r="C22" i="48"/>
  <c r="C21" i="48"/>
  <c r="C20" i="48"/>
  <c r="C19" i="48"/>
  <c r="C18" i="48"/>
  <c r="C17" i="48"/>
  <c r="C16" i="48"/>
  <c r="C15" i="48"/>
  <c r="C14" i="48"/>
  <c r="C13" i="48"/>
  <c r="C12" i="48"/>
  <c r="C11" i="48"/>
  <c r="C10" i="48"/>
  <c r="C9" i="48"/>
  <c r="C8" i="48"/>
  <c r="C7" i="48"/>
  <c r="B4" i="48"/>
  <c r="C32" i="47"/>
  <c r="C31" i="47"/>
  <c r="C30" i="47"/>
  <c r="C29" i="47"/>
  <c r="C28" i="47"/>
  <c r="B27" i="47"/>
  <c r="C25" i="47"/>
  <c r="C24" i="47"/>
  <c r="C23" i="47"/>
  <c r="C22" i="47"/>
  <c r="C21" i="47"/>
  <c r="C20" i="47"/>
  <c r="C19" i="47"/>
  <c r="C18" i="47"/>
  <c r="C17" i="47"/>
  <c r="C16" i="47"/>
  <c r="C15" i="47"/>
  <c r="C14" i="47"/>
  <c r="C13" i="47"/>
  <c r="C12" i="47"/>
  <c r="C11" i="47"/>
  <c r="C10" i="47"/>
  <c r="C9" i="47"/>
  <c r="C8" i="47"/>
  <c r="C7" i="47"/>
  <c r="B4" i="47"/>
  <c r="C32" i="46"/>
  <c r="C31" i="46"/>
  <c r="C30" i="46"/>
  <c r="C29" i="46"/>
  <c r="C28" i="46"/>
  <c r="B27" i="46"/>
  <c r="C25" i="46"/>
  <c r="C24" i="46"/>
  <c r="C23" i="46"/>
  <c r="C22" i="46"/>
  <c r="C21" i="46"/>
  <c r="C20" i="46"/>
  <c r="C19" i="46"/>
  <c r="C18" i="46"/>
  <c r="C17" i="46"/>
  <c r="C16" i="46"/>
  <c r="C15" i="46"/>
  <c r="C14" i="46"/>
  <c r="C13" i="46"/>
  <c r="C12" i="46"/>
  <c r="C11" i="46"/>
  <c r="C10" i="46"/>
  <c r="C9" i="46"/>
  <c r="C8" i="46"/>
  <c r="C7" i="46"/>
  <c r="B4" i="46"/>
  <c r="C32" i="45"/>
  <c r="C31" i="45"/>
  <c r="C30" i="45"/>
  <c r="C29" i="45"/>
  <c r="C28" i="45"/>
  <c r="B27" i="45"/>
  <c r="C25" i="45"/>
  <c r="C24" i="45"/>
  <c r="C23" i="45"/>
  <c r="C22" i="45"/>
  <c r="C21" i="45"/>
  <c r="C20" i="45"/>
  <c r="C19" i="45"/>
  <c r="C18" i="45"/>
  <c r="C17" i="45"/>
  <c r="C16" i="45"/>
  <c r="C15" i="45"/>
  <c r="C14" i="45"/>
  <c r="C13" i="45"/>
  <c r="C12" i="45"/>
  <c r="C11" i="45"/>
  <c r="C10" i="45"/>
  <c r="C9" i="45"/>
  <c r="C8" i="45"/>
  <c r="C7" i="45"/>
  <c r="B4" i="45"/>
  <c r="C32" i="44"/>
  <c r="C31" i="44"/>
  <c r="C30" i="44"/>
  <c r="C29" i="44"/>
  <c r="C28" i="44"/>
  <c r="B27" i="44"/>
  <c r="C25" i="44"/>
  <c r="C24" i="44"/>
  <c r="C23" i="44"/>
  <c r="C22" i="44"/>
  <c r="C21" i="44"/>
  <c r="C20" i="44"/>
  <c r="C19" i="44"/>
  <c r="C18" i="44"/>
  <c r="C17" i="44"/>
  <c r="C16" i="44"/>
  <c r="C15" i="44"/>
  <c r="C14" i="44"/>
  <c r="C13" i="44"/>
  <c r="C12" i="44"/>
  <c r="C11" i="44"/>
  <c r="C10" i="44"/>
  <c r="C9" i="44"/>
  <c r="C8" i="44"/>
  <c r="C7" i="44"/>
  <c r="B4" i="44"/>
  <c r="C32" i="43"/>
  <c r="C31" i="43"/>
  <c r="C30" i="43"/>
  <c r="C29" i="43"/>
  <c r="C28" i="43"/>
  <c r="B27" i="43"/>
  <c r="C25" i="43"/>
  <c r="C24" i="43"/>
  <c r="C23" i="43"/>
  <c r="C22" i="43"/>
  <c r="C21" i="43"/>
  <c r="C20" i="43"/>
  <c r="C19" i="43"/>
  <c r="C18" i="43"/>
  <c r="C17" i="43"/>
  <c r="C16" i="43"/>
  <c r="C15" i="43"/>
  <c r="C14" i="43"/>
  <c r="C13" i="43"/>
  <c r="C12" i="43"/>
  <c r="C11" i="43"/>
  <c r="C10" i="43"/>
  <c r="C9" i="43"/>
  <c r="C8" i="43"/>
  <c r="C7" i="43"/>
  <c r="B4" i="43"/>
  <c r="C32" i="42"/>
  <c r="C31" i="42"/>
  <c r="C30" i="42"/>
  <c r="C29" i="42"/>
  <c r="C28" i="42"/>
  <c r="B27" i="42"/>
  <c r="C25" i="42"/>
  <c r="C24" i="42"/>
  <c r="C23" i="42"/>
  <c r="C22" i="42"/>
  <c r="C21" i="42"/>
  <c r="C20" i="42"/>
  <c r="C19" i="42"/>
  <c r="C18" i="42"/>
  <c r="C17" i="42"/>
  <c r="C16" i="42"/>
  <c r="C15" i="42"/>
  <c r="C14" i="42"/>
  <c r="C13" i="42"/>
  <c r="C12" i="42"/>
  <c r="C11" i="42"/>
  <c r="C10" i="42"/>
  <c r="C9" i="42"/>
  <c r="C8" i="42"/>
  <c r="C7" i="42"/>
  <c r="B4" i="42"/>
  <c r="C32" i="41"/>
  <c r="C31" i="41"/>
  <c r="C30" i="41"/>
  <c r="C29" i="41"/>
  <c r="C28" i="41"/>
  <c r="B27" i="41"/>
  <c r="C25" i="41"/>
  <c r="C24" i="41"/>
  <c r="C23" i="41"/>
  <c r="C22" i="41"/>
  <c r="C21" i="41"/>
  <c r="C20" i="41"/>
  <c r="C19" i="41"/>
  <c r="C18" i="41"/>
  <c r="C17" i="41"/>
  <c r="C16" i="41"/>
  <c r="C15" i="41"/>
  <c r="C14" i="41"/>
  <c r="C13" i="41"/>
  <c r="C12" i="41"/>
  <c r="C11" i="41"/>
  <c r="C10" i="41"/>
  <c r="C9" i="41"/>
  <c r="C8" i="41"/>
  <c r="C7" i="41"/>
  <c r="B4" i="41"/>
  <c r="C32" i="40"/>
  <c r="C31" i="40"/>
  <c r="C30" i="40"/>
  <c r="C29" i="40"/>
  <c r="C28" i="40"/>
  <c r="B27" i="40"/>
  <c r="C25" i="40"/>
  <c r="C24" i="40"/>
  <c r="C23" i="40"/>
  <c r="C22" i="40"/>
  <c r="C21" i="40"/>
  <c r="C20" i="40"/>
  <c r="C19" i="40"/>
  <c r="C18" i="40"/>
  <c r="C17" i="40"/>
  <c r="C16" i="40"/>
  <c r="C15" i="40"/>
  <c r="C14" i="40"/>
  <c r="C13" i="40"/>
  <c r="C12" i="40"/>
  <c r="C11" i="40"/>
  <c r="C10" i="40"/>
  <c r="C9" i="40"/>
  <c r="C8" i="40"/>
  <c r="C7" i="40"/>
  <c r="B4" i="40"/>
  <c r="C32" i="39"/>
  <c r="C31" i="39"/>
  <c r="C30" i="39"/>
  <c r="C29" i="39"/>
  <c r="C28" i="39"/>
  <c r="B27" i="39"/>
  <c r="C25" i="39"/>
  <c r="C24" i="39"/>
  <c r="C23" i="39"/>
  <c r="C22" i="39"/>
  <c r="C21" i="39"/>
  <c r="C20" i="39"/>
  <c r="C19" i="39"/>
  <c r="C18" i="39"/>
  <c r="C17" i="39"/>
  <c r="C16" i="39"/>
  <c r="C15" i="39"/>
  <c r="C14" i="39"/>
  <c r="C13" i="39"/>
  <c r="C12" i="39"/>
  <c r="C11" i="39"/>
  <c r="C10" i="39"/>
  <c r="C9" i="39"/>
  <c r="C8" i="39"/>
  <c r="C7" i="39"/>
  <c r="B4" i="39"/>
  <c r="C32" i="38"/>
  <c r="C31" i="38"/>
  <c r="C30" i="38"/>
  <c r="C29" i="38"/>
  <c r="C28" i="38"/>
  <c r="B27" i="38"/>
  <c r="C25" i="38"/>
  <c r="C24" i="38"/>
  <c r="C23" i="38"/>
  <c r="C22" i="38"/>
  <c r="C21" i="38"/>
  <c r="C20" i="38"/>
  <c r="C19" i="38"/>
  <c r="C18" i="38"/>
  <c r="C17" i="38"/>
  <c r="C16" i="38"/>
  <c r="C15" i="38"/>
  <c r="C14" i="38"/>
  <c r="C13" i="38"/>
  <c r="C12" i="38"/>
  <c r="C11" i="38"/>
  <c r="C10" i="38"/>
  <c r="C9" i="38"/>
  <c r="C8" i="38"/>
  <c r="C7" i="38"/>
  <c r="B4" i="38"/>
  <c r="C32" i="37"/>
  <c r="C31" i="37"/>
  <c r="C30" i="37"/>
  <c r="C29" i="37"/>
  <c r="C28" i="37"/>
  <c r="B27" i="37"/>
  <c r="C25" i="37"/>
  <c r="C24" i="37"/>
  <c r="C23" i="37"/>
  <c r="C22" i="37"/>
  <c r="C21" i="37"/>
  <c r="C20" i="37"/>
  <c r="C19" i="37"/>
  <c r="C18" i="37"/>
  <c r="C17" i="37"/>
  <c r="C16" i="37"/>
  <c r="C15" i="37"/>
  <c r="C14" i="37"/>
  <c r="C13" i="37"/>
  <c r="C12" i="37"/>
  <c r="C11" i="37"/>
  <c r="C10" i="37"/>
  <c r="C9" i="37"/>
  <c r="C8" i="37"/>
  <c r="C7" i="37"/>
  <c r="B4" i="37"/>
  <c r="C32" i="36"/>
  <c r="C31" i="36"/>
  <c r="C30" i="36"/>
  <c r="C29" i="36"/>
  <c r="C28" i="36"/>
  <c r="B27" i="36"/>
  <c r="C25" i="36"/>
  <c r="C24" i="36"/>
  <c r="C23" i="36"/>
  <c r="C22" i="36"/>
  <c r="C21" i="36"/>
  <c r="C20" i="36"/>
  <c r="C19" i="36"/>
  <c r="C18" i="36"/>
  <c r="C17" i="36"/>
  <c r="C16" i="36"/>
  <c r="C15" i="36"/>
  <c r="C14" i="36"/>
  <c r="C13" i="36"/>
  <c r="C12" i="36"/>
  <c r="C11" i="36"/>
  <c r="C10" i="36"/>
  <c r="C9" i="36"/>
  <c r="C8" i="36"/>
  <c r="C7" i="36"/>
  <c r="B4" i="36"/>
  <c r="C32" i="12"/>
  <c r="C31" i="12"/>
  <c r="C30" i="12"/>
  <c r="C29" i="12"/>
  <c r="C28" i="12"/>
  <c r="B27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B4" i="12"/>
  <c r="C32" i="11"/>
  <c r="C31" i="11"/>
  <c r="C30" i="11"/>
  <c r="C29" i="11"/>
  <c r="C28" i="11"/>
  <c r="B27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B4" i="11"/>
  <c r="C32" i="10"/>
  <c r="C31" i="10"/>
  <c r="C30" i="10"/>
  <c r="C29" i="10"/>
  <c r="C28" i="10"/>
  <c r="B27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B4" i="10"/>
  <c r="C32" i="9"/>
  <c r="C31" i="9"/>
  <c r="C30" i="9"/>
  <c r="C29" i="9"/>
  <c r="C28" i="9"/>
  <c r="B27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B4" i="9"/>
  <c r="C32" i="8"/>
  <c r="C31" i="8"/>
  <c r="C30" i="8"/>
  <c r="C29" i="8"/>
  <c r="C28" i="8"/>
  <c r="B27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B4" i="8"/>
  <c r="C32" i="7" l="1"/>
  <c r="C31" i="7"/>
  <c r="C30" i="7"/>
  <c r="C29" i="7"/>
  <c r="C28" i="7"/>
  <c r="B27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B4" i="7"/>
  <c r="C32" i="6"/>
  <c r="C31" i="6"/>
  <c r="C30" i="6"/>
  <c r="C29" i="6"/>
  <c r="C28" i="6"/>
  <c r="B27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B4" i="6"/>
  <c r="C32" i="5"/>
  <c r="C31" i="5"/>
  <c r="C30" i="5"/>
  <c r="C29" i="5"/>
  <c r="C28" i="5"/>
  <c r="B27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B4" i="5"/>
  <c r="C32" i="4"/>
  <c r="C31" i="4"/>
  <c r="C30" i="4"/>
  <c r="C29" i="4"/>
  <c r="C28" i="4"/>
  <c r="C25" i="4"/>
  <c r="E25" i="4" s="1"/>
  <c r="C24" i="4"/>
  <c r="E24" i="4" s="1"/>
  <c r="C23" i="4"/>
  <c r="E23" i="4" s="1"/>
  <c r="C22" i="4"/>
  <c r="E22" i="4" s="1"/>
  <c r="C21" i="4"/>
  <c r="E21" i="4" s="1"/>
  <c r="C20" i="4"/>
  <c r="E20" i="4" s="1"/>
  <c r="C19" i="4"/>
  <c r="E19" i="4" s="1"/>
  <c r="C18" i="4"/>
  <c r="E18" i="4" s="1"/>
  <c r="C17" i="4"/>
  <c r="E17" i="4" s="1"/>
  <c r="C16" i="4"/>
  <c r="E16" i="4" s="1"/>
  <c r="C15" i="4"/>
  <c r="E15" i="4" s="1"/>
  <c r="C14" i="4"/>
  <c r="E14" i="4" s="1"/>
  <c r="C13" i="4"/>
  <c r="C12" i="4"/>
  <c r="E12" i="4" s="1"/>
  <c r="C11" i="4"/>
  <c r="E11" i="4" s="1"/>
  <c r="C10" i="4"/>
  <c r="E10" i="4" s="1"/>
  <c r="C9" i="4"/>
  <c r="E9" i="4" s="1"/>
  <c r="C8" i="4"/>
  <c r="E8" i="4" s="1"/>
  <c r="C7" i="4"/>
  <c r="E7" i="5" s="1"/>
  <c r="AE34" i="3"/>
  <c r="E31" i="53" s="1"/>
  <c r="AE33" i="3"/>
  <c r="E31" i="52" s="1"/>
  <c r="E75" i="2"/>
  <c r="G75" i="2" s="1"/>
  <c r="H75" i="2" s="1"/>
  <c r="AD8" i="3" s="1"/>
  <c r="E30" i="4" s="1"/>
  <c r="E7" i="57" l="1"/>
  <c r="E7" i="55"/>
  <c r="E7" i="53"/>
  <c r="E7" i="51"/>
  <c r="E7" i="58"/>
  <c r="E7" i="56"/>
  <c r="E7" i="54"/>
  <c r="E7" i="52"/>
  <c r="E7" i="50"/>
  <c r="E7" i="49"/>
  <c r="E7" i="47"/>
  <c r="E7" i="45"/>
  <c r="E7" i="43"/>
  <c r="E7" i="48"/>
  <c r="E7" i="46"/>
  <c r="E7" i="44"/>
  <c r="E7" i="42"/>
  <c r="E7" i="40"/>
  <c r="E7" i="38"/>
  <c r="E7" i="36"/>
  <c r="E7" i="41"/>
  <c r="E7" i="39"/>
  <c r="E7" i="37"/>
  <c r="E7" i="12"/>
  <c r="E7" i="10"/>
  <c r="E7" i="8"/>
  <c r="E7" i="11"/>
  <c r="E7" i="9"/>
  <c r="E9" i="57"/>
  <c r="E9" i="55"/>
  <c r="E9" i="53"/>
  <c r="E9" i="51"/>
  <c r="E9" i="58"/>
  <c r="E9" i="56"/>
  <c r="E9" i="54"/>
  <c r="E9" i="52"/>
  <c r="E9" i="50"/>
  <c r="E9" i="49"/>
  <c r="E9" i="47"/>
  <c r="E9" i="45"/>
  <c r="E9" i="43"/>
  <c r="E9" i="48"/>
  <c r="E9" i="46"/>
  <c r="E9" i="44"/>
  <c r="E9" i="42"/>
  <c r="E9" i="41"/>
  <c r="E9" i="40"/>
  <c r="E9" i="38"/>
  <c r="E9" i="36"/>
  <c r="E9" i="39"/>
  <c r="E9" i="37"/>
  <c r="E9" i="12"/>
  <c r="E9" i="10"/>
  <c r="E9" i="8"/>
  <c r="E9" i="11"/>
  <c r="E9" i="9"/>
  <c r="E11" i="57"/>
  <c r="E11" i="55"/>
  <c r="E11" i="53"/>
  <c r="E11" i="51"/>
  <c r="E11" i="58"/>
  <c r="E11" i="56"/>
  <c r="E11" i="54"/>
  <c r="E11" i="52"/>
  <c r="E11" i="50"/>
  <c r="E11" i="49"/>
  <c r="E11" i="47"/>
  <c r="E11" i="45"/>
  <c r="E11" i="43"/>
  <c r="E11" i="48"/>
  <c r="E11" i="46"/>
  <c r="E11" i="44"/>
  <c r="E11" i="42"/>
  <c r="E11" i="40"/>
  <c r="E11" i="38"/>
  <c r="E11" i="36"/>
  <c r="E11" i="41"/>
  <c r="E11" i="39"/>
  <c r="E11" i="37"/>
  <c r="E11" i="12"/>
  <c r="E11" i="10"/>
  <c r="E11" i="8"/>
  <c r="E11" i="11"/>
  <c r="E11" i="9"/>
  <c r="E15" i="58"/>
  <c r="E15" i="57"/>
  <c r="E15" i="55"/>
  <c r="E15" i="53"/>
  <c r="E15" i="51"/>
  <c r="E15" i="56"/>
  <c r="E15" i="54"/>
  <c r="E15" i="52"/>
  <c r="E15" i="50"/>
  <c r="E15" i="49"/>
  <c r="E15" i="47"/>
  <c r="E15" i="45"/>
  <c r="E15" i="43"/>
  <c r="E15" i="48"/>
  <c r="E15" i="46"/>
  <c r="E15" i="44"/>
  <c r="E15" i="42"/>
  <c r="E15" i="40"/>
  <c r="E15" i="38"/>
  <c r="E15" i="36"/>
  <c r="E15" i="11"/>
  <c r="E15" i="41"/>
  <c r="E15" i="39"/>
  <c r="E15" i="37"/>
  <c r="E15" i="12"/>
  <c r="E15" i="10"/>
  <c r="E15" i="8"/>
  <c r="E15" i="9"/>
  <c r="E17" i="58"/>
  <c r="E17" i="57"/>
  <c r="E17" i="55"/>
  <c r="E17" i="53"/>
  <c r="E17" i="51"/>
  <c r="E17" i="56"/>
  <c r="E17" i="54"/>
  <c r="E17" i="52"/>
  <c r="E17" i="50"/>
  <c r="E17" i="49"/>
  <c r="E17" i="47"/>
  <c r="E17" i="45"/>
  <c r="E17" i="43"/>
  <c r="E17" i="48"/>
  <c r="E17" i="46"/>
  <c r="E17" i="44"/>
  <c r="E17" i="42"/>
  <c r="E17" i="41"/>
  <c r="E17" i="40"/>
  <c r="E17" i="38"/>
  <c r="E17" i="36"/>
  <c r="E17" i="11"/>
  <c r="E17" i="39"/>
  <c r="E17" i="37"/>
  <c r="E17" i="12"/>
  <c r="E17" i="10"/>
  <c r="E17" i="8"/>
  <c r="E17" i="9"/>
  <c r="E19" i="58"/>
  <c r="E19" i="57"/>
  <c r="E19" i="55"/>
  <c r="E19" i="53"/>
  <c r="E19" i="51"/>
  <c r="E19" i="56"/>
  <c r="E19" i="54"/>
  <c r="E19" i="52"/>
  <c r="E19" i="50"/>
  <c r="E19" i="49"/>
  <c r="E19" i="47"/>
  <c r="E19" i="45"/>
  <c r="E19" i="43"/>
  <c r="E19" i="48"/>
  <c r="E19" i="46"/>
  <c r="E19" i="44"/>
  <c r="E19" i="42"/>
  <c r="E19" i="40"/>
  <c r="E19" i="38"/>
  <c r="E19" i="36"/>
  <c r="E19" i="11"/>
  <c r="E19" i="41"/>
  <c r="E19" i="39"/>
  <c r="E19" i="37"/>
  <c r="E19" i="12"/>
  <c r="E19" i="10"/>
  <c r="E19" i="8"/>
  <c r="E19" i="9"/>
  <c r="E21" i="58"/>
  <c r="E21" i="57"/>
  <c r="E21" i="55"/>
  <c r="E21" i="53"/>
  <c r="E21" i="51"/>
  <c r="E21" i="56"/>
  <c r="E21" i="54"/>
  <c r="E21" i="52"/>
  <c r="E21" i="50"/>
  <c r="E21" i="49"/>
  <c r="E21" i="47"/>
  <c r="E21" i="45"/>
  <c r="E21" i="43"/>
  <c r="E21" i="48"/>
  <c r="E21" i="46"/>
  <c r="E21" i="44"/>
  <c r="E21" i="42"/>
  <c r="E21" i="41"/>
  <c r="E21" i="40"/>
  <c r="E21" i="38"/>
  <c r="E21" i="36"/>
  <c r="E21" i="11"/>
  <c r="E21" i="39"/>
  <c r="E21" i="37"/>
  <c r="E21" i="12"/>
  <c r="E21" i="10"/>
  <c r="E21" i="8"/>
  <c r="E21" i="9"/>
  <c r="E23" i="58"/>
  <c r="E23" i="57"/>
  <c r="E23" i="55"/>
  <c r="E23" i="53"/>
  <c r="E23" i="51"/>
  <c r="E23" i="56"/>
  <c r="E23" i="54"/>
  <c r="E23" i="52"/>
  <c r="E23" i="50"/>
  <c r="E23" i="49"/>
  <c r="E23" i="47"/>
  <c r="E23" i="45"/>
  <c r="E23" i="43"/>
  <c r="E23" i="48"/>
  <c r="E23" i="46"/>
  <c r="E23" i="44"/>
  <c r="E23" i="42"/>
  <c r="E23" i="40"/>
  <c r="E23" i="38"/>
  <c r="E23" i="36"/>
  <c r="E23" i="11"/>
  <c r="E23" i="41"/>
  <c r="E23" i="39"/>
  <c r="E23" i="37"/>
  <c r="E23" i="12"/>
  <c r="E23" i="10"/>
  <c r="E23" i="8"/>
  <c r="E23" i="9"/>
  <c r="E25" i="58"/>
  <c r="E25" i="57"/>
  <c r="E25" i="55"/>
  <c r="E25" i="53"/>
  <c r="E25" i="51"/>
  <c r="E25" i="56"/>
  <c r="E25" i="54"/>
  <c r="E25" i="52"/>
  <c r="E25" i="50"/>
  <c r="E25" i="49"/>
  <c r="E25" i="47"/>
  <c r="E25" i="45"/>
  <c r="E25" i="43"/>
  <c r="E25" i="48"/>
  <c r="E25" i="46"/>
  <c r="E25" i="44"/>
  <c r="E25" i="42"/>
  <c r="E25" i="41"/>
  <c r="E25" i="40"/>
  <c r="E25" i="38"/>
  <c r="E25" i="36"/>
  <c r="E25" i="11"/>
  <c r="E25" i="39"/>
  <c r="E25" i="37"/>
  <c r="E25" i="12"/>
  <c r="E25" i="10"/>
  <c r="E25" i="8"/>
  <c r="E25" i="9"/>
  <c r="E7" i="4"/>
  <c r="E25" i="5"/>
  <c r="E23" i="5"/>
  <c r="E21" i="5"/>
  <c r="E19" i="5"/>
  <c r="E17" i="5"/>
  <c r="E15" i="5"/>
  <c r="E11" i="5"/>
  <c r="E9" i="5"/>
  <c r="E25" i="6"/>
  <c r="E23" i="6"/>
  <c r="E21" i="6"/>
  <c r="E19" i="6"/>
  <c r="E17" i="6"/>
  <c r="E15" i="6"/>
  <c r="E11" i="6"/>
  <c r="E9" i="6"/>
  <c r="E7" i="7"/>
  <c r="E9" i="7"/>
  <c r="E11" i="7"/>
  <c r="E15" i="7"/>
  <c r="E17" i="7"/>
  <c r="E19" i="7"/>
  <c r="E21" i="7"/>
  <c r="E23" i="7"/>
  <c r="E25" i="7"/>
  <c r="E8" i="58"/>
  <c r="E8" i="56"/>
  <c r="E8" i="54"/>
  <c r="E8" i="52"/>
  <c r="E8" i="50"/>
  <c r="E8" i="57"/>
  <c r="E8" i="55"/>
  <c r="E8" i="53"/>
  <c r="E8" i="51"/>
  <c r="E8" i="48"/>
  <c r="E8" i="46"/>
  <c r="E8" i="44"/>
  <c r="E8" i="42"/>
  <c r="E8" i="49"/>
  <c r="E8" i="47"/>
  <c r="E8" i="45"/>
  <c r="E8" i="43"/>
  <c r="E8" i="41"/>
  <c r="E8" i="39"/>
  <c r="E8" i="37"/>
  <c r="E8" i="12"/>
  <c r="E8" i="40"/>
  <c r="E8" i="38"/>
  <c r="E8" i="36"/>
  <c r="E8" i="11"/>
  <c r="E8" i="9"/>
  <c r="E8" i="10"/>
  <c r="E8" i="8"/>
  <c r="E10" i="58"/>
  <c r="E10" i="56"/>
  <c r="E10" i="54"/>
  <c r="E10" i="52"/>
  <c r="E10" i="50"/>
  <c r="E10" i="57"/>
  <c r="E10" i="55"/>
  <c r="E10" i="53"/>
  <c r="E10" i="51"/>
  <c r="E10" i="48"/>
  <c r="E10" i="46"/>
  <c r="E10" i="44"/>
  <c r="E10" i="42"/>
  <c r="E10" i="49"/>
  <c r="E10" i="47"/>
  <c r="E10" i="45"/>
  <c r="E10" i="43"/>
  <c r="E10" i="41"/>
  <c r="E10" i="39"/>
  <c r="E10" i="37"/>
  <c r="E10" i="12"/>
  <c r="E10" i="40"/>
  <c r="E10" i="38"/>
  <c r="E10" i="36"/>
  <c r="E10" i="11"/>
  <c r="E10" i="9"/>
  <c r="E10" i="10"/>
  <c r="E10" i="8"/>
  <c r="E12" i="58"/>
  <c r="E12" i="56"/>
  <c r="E12" i="54"/>
  <c r="E12" i="52"/>
  <c r="E12" i="50"/>
  <c r="E12" i="57"/>
  <c r="E12" i="55"/>
  <c r="E12" i="53"/>
  <c r="E12" i="51"/>
  <c r="E12" i="48"/>
  <c r="E12" i="46"/>
  <c r="E12" i="44"/>
  <c r="E12" i="42"/>
  <c r="E12" i="49"/>
  <c r="E12" i="47"/>
  <c r="E12" i="45"/>
  <c r="E12" i="43"/>
  <c r="E12" i="41"/>
  <c r="E12" i="39"/>
  <c r="E12" i="37"/>
  <c r="E12" i="12"/>
  <c r="E12" i="40"/>
  <c r="E12" i="38"/>
  <c r="E12" i="36"/>
  <c r="E12" i="11"/>
  <c r="E12" i="9"/>
  <c r="E12" i="10"/>
  <c r="E12" i="8"/>
  <c r="E14" i="56"/>
  <c r="E14" i="54"/>
  <c r="E14" i="52"/>
  <c r="E14" i="50"/>
  <c r="E14" i="58"/>
  <c r="E14" i="57"/>
  <c r="E14" i="55"/>
  <c r="E14" i="53"/>
  <c r="E14" i="51"/>
  <c r="E14" i="48"/>
  <c r="E14" i="46"/>
  <c r="E14" i="44"/>
  <c r="E14" i="42"/>
  <c r="E14" i="49"/>
  <c r="E14" i="47"/>
  <c r="E14" i="45"/>
  <c r="E14" i="43"/>
  <c r="E14" i="41"/>
  <c r="E14" i="39"/>
  <c r="E14" i="37"/>
  <c r="E14" i="12"/>
  <c r="E14" i="40"/>
  <c r="E14" i="38"/>
  <c r="E14" i="36"/>
  <c r="E14" i="11"/>
  <c r="E14" i="9"/>
  <c r="E14" i="10"/>
  <c r="E14" i="8"/>
  <c r="E16" i="56"/>
  <c r="E16" i="54"/>
  <c r="E16" i="52"/>
  <c r="E16" i="50"/>
  <c r="E16" i="58"/>
  <c r="E16" i="57"/>
  <c r="E16" i="55"/>
  <c r="E16" i="53"/>
  <c r="E16" i="51"/>
  <c r="E16" i="48"/>
  <c r="E16" i="46"/>
  <c r="E16" i="44"/>
  <c r="E16" i="42"/>
  <c r="E16" i="49"/>
  <c r="E16" i="47"/>
  <c r="E16" i="45"/>
  <c r="E16" i="43"/>
  <c r="E16" i="41"/>
  <c r="E16" i="39"/>
  <c r="E16" i="37"/>
  <c r="E16" i="12"/>
  <c r="E16" i="40"/>
  <c r="E16" i="38"/>
  <c r="E16" i="36"/>
  <c r="E16" i="11"/>
  <c r="E16" i="9"/>
  <c r="E16" i="10"/>
  <c r="E16" i="8"/>
  <c r="E18" i="56"/>
  <c r="E18" i="54"/>
  <c r="E18" i="52"/>
  <c r="E18" i="50"/>
  <c r="E18" i="58"/>
  <c r="E18" i="57"/>
  <c r="E18" i="55"/>
  <c r="E18" i="53"/>
  <c r="E18" i="51"/>
  <c r="E18" i="48"/>
  <c r="E18" i="46"/>
  <c r="E18" i="44"/>
  <c r="E18" i="42"/>
  <c r="E18" i="49"/>
  <c r="E18" i="47"/>
  <c r="E18" i="45"/>
  <c r="E18" i="43"/>
  <c r="E18" i="41"/>
  <c r="E18" i="39"/>
  <c r="E18" i="37"/>
  <c r="E18" i="12"/>
  <c r="E18" i="40"/>
  <c r="E18" i="38"/>
  <c r="E18" i="36"/>
  <c r="E18" i="11"/>
  <c r="E18" i="9"/>
  <c r="E18" i="10"/>
  <c r="E18" i="8"/>
  <c r="E20" i="56"/>
  <c r="E20" i="54"/>
  <c r="E20" i="52"/>
  <c r="E20" i="50"/>
  <c r="E20" i="58"/>
  <c r="E20" i="57"/>
  <c r="E20" i="55"/>
  <c r="E20" i="53"/>
  <c r="E20" i="51"/>
  <c r="E20" i="48"/>
  <c r="E20" i="46"/>
  <c r="E20" i="44"/>
  <c r="E20" i="42"/>
  <c r="E20" i="49"/>
  <c r="E20" i="47"/>
  <c r="E20" i="45"/>
  <c r="E20" i="43"/>
  <c r="E20" i="41"/>
  <c r="E20" i="39"/>
  <c r="E20" i="37"/>
  <c r="E20" i="12"/>
  <c r="E20" i="40"/>
  <c r="E20" i="38"/>
  <c r="E20" i="36"/>
  <c r="E20" i="11"/>
  <c r="E20" i="9"/>
  <c r="E20" i="10"/>
  <c r="E20" i="8"/>
  <c r="E22" i="56"/>
  <c r="E22" i="54"/>
  <c r="E22" i="52"/>
  <c r="E22" i="50"/>
  <c r="E22" i="58"/>
  <c r="E22" i="57"/>
  <c r="E22" i="55"/>
  <c r="E22" i="53"/>
  <c r="E22" i="51"/>
  <c r="E22" i="48"/>
  <c r="E22" i="46"/>
  <c r="E22" i="44"/>
  <c r="E22" i="42"/>
  <c r="E22" i="49"/>
  <c r="E22" i="47"/>
  <c r="E22" i="45"/>
  <c r="E22" i="43"/>
  <c r="E22" i="41"/>
  <c r="E22" i="39"/>
  <c r="E22" i="37"/>
  <c r="E22" i="12"/>
  <c r="E22" i="40"/>
  <c r="E22" i="38"/>
  <c r="E22" i="36"/>
  <c r="E22" i="11"/>
  <c r="E22" i="9"/>
  <c r="E22" i="10"/>
  <c r="E22" i="8"/>
  <c r="E24" i="56"/>
  <c r="E24" i="54"/>
  <c r="E24" i="52"/>
  <c r="E24" i="50"/>
  <c r="E24" i="58"/>
  <c r="E24" i="57"/>
  <c r="E24" i="55"/>
  <c r="E24" i="53"/>
  <c r="E24" i="51"/>
  <c r="E24" i="48"/>
  <c r="E24" i="46"/>
  <c r="E24" i="44"/>
  <c r="E24" i="42"/>
  <c r="E24" i="49"/>
  <c r="E24" i="47"/>
  <c r="E24" i="45"/>
  <c r="E24" i="43"/>
  <c r="E24" i="41"/>
  <c r="E24" i="39"/>
  <c r="E24" i="37"/>
  <c r="E24" i="12"/>
  <c r="E24" i="40"/>
  <c r="E24" i="38"/>
  <c r="E24" i="36"/>
  <c r="E24" i="11"/>
  <c r="E24" i="9"/>
  <c r="E24" i="10"/>
  <c r="E24" i="8"/>
  <c r="E24" i="5"/>
  <c r="E22" i="5"/>
  <c r="E20" i="5"/>
  <c r="E18" i="5"/>
  <c r="E16" i="5"/>
  <c r="E14" i="5"/>
  <c r="E12" i="5"/>
  <c r="E10" i="5"/>
  <c r="E8" i="5"/>
  <c r="E7" i="6"/>
  <c r="E24" i="6"/>
  <c r="E22" i="6"/>
  <c r="E20" i="6"/>
  <c r="E18" i="6"/>
  <c r="E16" i="6"/>
  <c r="E14" i="6"/>
  <c r="E12" i="6"/>
  <c r="E10" i="6"/>
  <c r="E8" i="6"/>
  <c r="E8" i="7"/>
  <c r="E10" i="7"/>
  <c r="E12" i="7"/>
  <c r="E14" i="7"/>
  <c r="E16" i="7"/>
  <c r="E18" i="7"/>
  <c r="E20" i="7"/>
  <c r="E22" i="7"/>
  <c r="E24" i="7"/>
  <c r="E28" i="58"/>
  <c r="E31" i="58"/>
  <c r="E31" i="57"/>
  <c r="E31" i="55"/>
  <c r="E31" i="51"/>
  <c r="E31" i="49"/>
  <c r="E31" i="47"/>
  <c r="E31" i="45"/>
  <c r="E31" i="43"/>
  <c r="E31" i="41"/>
  <c r="E31" i="39"/>
  <c r="E31" i="37"/>
  <c r="E31" i="12"/>
  <c r="E31" i="10"/>
  <c r="E31" i="8"/>
  <c r="E31" i="56"/>
  <c r="E31" i="54"/>
  <c r="E31" i="50"/>
  <c r="E31" i="48"/>
  <c r="E31" i="46"/>
  <c r="E31" i="44"/>
  <c r="E31" i="42"/>
  <c r="E31" i="40"/>
  <c r="E31" i="38"/>
  <c r="E31" i="36"/>
  <c r="E31" i="11"/>
  <c r="E31" i="9"/>
  <c r="E31" i="4"/>
  <c r="E31" i="7"/>
  <c r="E31" i="5"/>
  <c r="E31" i="6"/>
  <c r="E30" i="53"/>
  <c r="E30" i="52"/>
  <c r="B27" i="4" l="1"/>
  <c r="B4" i="4"/>
  <c r="E39" i="2" l="1"/>
  <c r="E110" i="2" l="1"/>
  <c r="E111" i="2"/>
  <c r="E112" i="2"/>
  <c r="E113" i="2"/>
  <c r="E114" i="2"/>
  <c r="E116" i="2"/>
  <c r="E117" i="2"/>
  <c r="E118" i="2"/>
  <c r="E119" i="2"/>
  <c r="E123" i="2"/>
  <c r="E124" i="2"/>
  <c r="E125" i="2"/>
  <c r="E126" i="2"/>
  <c r="E127" i="2"/>
  <c r="E128" i="2"/>
  <c r="E129" i="2"/>
  <c r="E130" i="2"/>
  <c r="E131" i="2"/>
  <c r="E134" i="2"/>
  <c r="E136" i="2"/>
  <c r="E137" i="2"/>
  <c r="E138" i="2"/>
  <c r="E139" i="2"/>
  <c r="E109" i="2"/>
  <c r="E76" i="2"/>
  <c r="G76" i="2" s="1"/>
  <c r="H76" i="2" s="1"/>
  <c r="AD9" i="3" s="1"/>
  <c r="E30" i="5" s="1"/>
  <c r="E77" i="2"/>
  <c r="G77" i="2" s="1"/>
  <c r="H77" i="2" s="1"/>
  <c r="AD10" i="3" s="1"/>
  <c r="E30" i="6" s="1"/>
  <c r="E78" i="2"/>
  <c r="G78" i="2" s="1"/>
  <c r="H78" i="2" s="1"/>
  <c r="AD11" i="3" s="1"/>
  <c r="E30" i="7" s="1"/>
  <c r="E79" i="2"/>
  <c r="G79" i="2" s="1"/>
  <c r="H79" i="2" s="1"/>
  <c r="AD12" i="3" s="1"/>
  <c r="E30" i="8" s="1"/>
  <c r="E80" i="2"/>
  <c r="G80" i="2" s="1"/>
  <c r="H80" i="2" s="1"/>
  <c r="AD13" i="3" s="1"/>
  <c r="E30" i="9" s="1"/>
  <c r="E82" i="2"/>
  <c r="G82" i="2" s="1"/>
  <c r="H82" i="2" s="1"/>
  <c r="AD15" i="3" s="1"/>
  <c r="E30" i="11" s="1"/>
  <c r="E83" i="2"/>
  <c r="G83" i="2" s="1"/>
  <c r="H83" i="2" s="1"/>
  <c r="AD16" i="3" s="1"/>
  <c r="E30" i="12" s="1"/>
  <c r="E84" i="2"/>
  <c r="G84" i="2" s="1"/>
  <c r="H84" i="2" s="1"/>
  <c r="AD17" i="3" s="1"/>
  <c r="E30" i="36" s="1"/>
  <c r="E85" i="2"/>
  <c r="G85" i="2" s="1"/>
  <c r="H85" i="2" s="1"/>
  <c r="AD18" i="3" s="1"/>
  <c r="E30" i="37" s="1"/>
  <c r="E89" i="2"/>
  <c r="G89" i="2" s="1"/>
  <c r="H89" i="2" s="1"/>
  <c r="AD22" i="3" s="1"/>
  <c r="E30" i="41" s="1"/>
  <c r="E90" i="2"/>
  <c r="G90" i="2" s="1"/>
  <c r="H90" i="2" s="1"/>
  <c r="AD23" i="3" s="1"/>
  <c r="E30" i="42" s="1"/>
  <c r="E91" i="2"/>
  <c r="G91" i="2" s="1"/>
  <c r="H91" i="2" s="1"/>
  <c r="AD24" i="3" s="1"/>
  <c r="E30" i="43" s="1"/>
  <c r="E92" i="2"/>
  <c r="G92" i="2" s="1"/>
  <c r="H92" i="2" s="1"/>
  <c r="AD25" i="3" s="1"/>
  <c r="E30" i="44" s="1"/>
  <c r="E93" i="2"/>
  <c r="G93" i="2" s="1"/>
  <c r="H93" i="2" s="1"/>
  <c r="AD26" i="3" s="1"/>
  <c r="E30" i="45" s="1"/>
  <c r="E94" i="2"/>
  <c r="G94" i="2" s="1"/>
  <c r="H94" i="2" s="1"/>
  <c r="AD27" i="3" s="1"/>
  <c r="E30" i="46" s="1"/>
  <c r="E95" i="2"/>
  <c r="G95" i="2" s="1"/>
  <c r="H95" i="2" s="1"/>
  <c r="AD28" i="3" s="1"/>
  <c r="E30" i="47" s="1"/>
  <c r="E96" i="2"/>
  <c r="G96" i="2" s="1"/>
  <c r="H96" i="2" s="1"/>
  <c r="AD29" i="3" s="1"/>
  <c r="E30" i="48" s="1"/>
  <c r="E97" i="2"/>
  <c r="G97" i="2" s="1"/>
  <c r="H97" i="2" s="1"/>
  <c r="AD30" i="3" s="1"/>
  <c r="E30" i="49" s="1"/>
  <c r="E100" i="2"/>
  <c r="G100" i="2" s="1"/>
  <c r="H100" i="2" s="1"/>
  <c r="E102" i="2"/>
  <c r="G102" i="2" s="1"/>
  <c r="H102" i="2" s="1"/>
  <c r="AD35" i="3" s="1"/>
  <c r="E30" i="54" s="1"/>
  <c r="E103" i="2"/>
  <c r="G103" i="2" s="1"/>
  <c r="H103" i="2" s="1"/>
  <c r="AD36" i="3" s="1"/>
  <c r="E30" i="55" s="1"/>
  <c r="E104" i="2"/>
  <c r="G104" i="2" s="1"/>
  <c r="H104" i="2" s="1"/>
  <c r="AD37" i="3" s="1"/>
  <c r="E30" i="56" s="1"/>
  <c r="E105" i="2"/>
  <c r="G105" i="2" s="1"/>
  <c r="H105" i="2" s="1"/>
  <c r="AD38" i="3" s="1"/>
  <c r="E30" i="57" s="1"/>
  <c r="AD39" i="3"/>
  <c r="E30" i="58" s="1"/>
  <c r="E40" i="2"/>
  <c r="E41" i="2"/>
  <c r="E42" i="2"/>
  <c r="E43" i="2"/>
  <c r="E44" i="2"/>
  <c r="E46" i="2"/>
  <c r="E47" i="2"/>
  <c r="E48" i="2"/>
  <c r="E49" i="2"/>
  <c r="E53" i="2"/>
  <c r="E54" i="2"/>
  <c r="E55" i="2"/>
  <c r="E56" i="2"/>
  <c r="E57" i="2"/>
  <c r="E58" i="2"/>
  <c r="E59" i="2"/>
  <c r="E60" i="2"/>
  <c r="E61" i="2"/>
  <c r="E64" i="2"/>
  <c r="E66" i="2"/>
  <c r="E67" i="2"/>
  <c r="E68" i="2"/>
  <c r="E69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C135" i="2" l="1"/>
  <c r="E135" i="2" s="1"/>
  <c r="C133" i="2"/>
  <c r="E133" i="2" s="1"/>
  <c r="C132" i="2"/>
  <c r="E132" i="2" s="1"/>
  <c r="C122" i="2"/>
  <c r="E122" i="2" s="1"/>
  <c r="C121" i="2"/>
  <c r="E121" i="2" s="1"/>
  <c r="C120" i="2"/>
  <c r="E120" i="2" s="1"/>
  <c r="C115" i="2"/>
  <c r="E115" i="2" s="1"/>
  <c r="C101" i="2"/>
  <c r="E101" i="2" s="1"/>
  <c r="G101" i="2" s="1"/>
  <c r="H101" i="2" s="1"/>
  <c r="C99" i="2"/>
  <c r="E99" i="2" s="1"/>
  <c r="G99" i="2" s="1"/>
  <c r="H99" i="2" s="1"/>
  <c r="AD32" i="3" s="1"/>
  <c r="E30" i="51" s="1"/>
  <c r="C98" i="2"/>
  <c r="E98" i="2" s="1"/>
  <c r="G98" i="2" s="1"/>
  <c r="H98" i="2" s="1"/>
  <c r="AD31" i="3" s="1"/>
  <c r="E30" i="50" s="1"/>
  <c r="C88" i="2"/>
  <c r="E88" i="2" s="1"/>
  <c r="G88" i="2" s="1"/>
  <c r="H88" i="2" s="1"/>
  <c r="AD21" i="3" s="1"/>
  <c r="E30" i="40" s="1"/>
  <c r="C87" i="2"/>
  <c r="E87" i="2" s="1"/>
  <c r="G87" i="2" s="1"/>
  <c r="H87" i="2" s="1"/>
  <c r="AD20" i="3" s="1"/>
  <c r="E30" i="39" s="1"/>
  <c r="C86" i="2"/>
  <c r="E86" i="2" s="1"/>
  <c r="G86" i="2" s="1"/>
  <c r="H86" i="2" s="1"/>
  <c r="AD19" i="3" s="1"/>
  <c r="E30" i="38" s="1"/>
  <c r="C81" i="2"/>
  <c r="E81" i="2" s="1"/>
  <c r="G81" i="2" s="1"/>
  <c r="H81" i="2" s="1"/>
  <c r="AD14" i="3" s="1"/>
  <c r="E30" i="10" s="1"/>
  <c r="C65" i="2"/>
  <c r="E65" i="2" s="1"/>
  <c r="C63" i="2"/>
  <c r="E63" i="2" s="1"/>
  <c r="C62" i="2"/>
  <c r="E62" i="2" s="1"/>
  <c r="C52" i="2"/>
  <c r="E52" i="2" s="1"/>
  <c r="C51" i="2"/>
  <c r="E51" i="2" s="1"/>
  <c r="C50" i="2"/>
  <c r="E50" i="2" s="1"/>
  <c r="C45" i="2"/>
  <c r="E45" i="2" s="1"/>
  <c r="J8" i="3" l="1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AK10" i="3" l="1"/>
  <c r="E13" i="6"/>
  <c r="G22" i="6" s="1"/>
  <c r="AK12" i="3"/>
  <c r="E13" i="8"/>
  <c r="G22" i="8" s="1"/>
  <c r="AK14" i="3"/>
  <c r="E13" i="10"/>
  <c r="G22" i="10" s="1"/>
  <c r="H22" i="10" s="1"/>
  <c r="AK16" i="3"/>
  <c r="E13" i="12"/>
  <c r="G22" i="12" s="1"/>
  <c r="H22" i="12" s="1"/>
  <c r="AK18" i="3"/>
  <c r="E13" i="37"/>
  <c r="G22" i="37" s="1"/>
  <c r="H22" i="37" s="1"/>
  <c r="AK20" i="3"/>
  <c r="E13" i="39"/>
  <c r="G22" i="39" s="1"/>
  <c r="H22" i="39" s="1"/>
  <c r="AK22" i="3"/>
  <c r="E13" i="41"/>
  <c r="G22" i="41" s="1"/>
  <c r="H22" i="41" s="1"/>
  <c r="AK24" i="3"/>
  <c r="E13" i="43"/>
  <c r="G22" i="43" s="1"/>
  <c r="H22" i="43" s="1"/>
  <c r="AK26" i="3"/>
  <c r="E13" i="45"/>
  <c r="G22" i="45" s="1"/>
  <c r="H22" i="45" s="1"/>
  <c r="AK28" i="3"/>
  <c r="E13" i="47"/>
  <c r="G22" i="47" s="1"/>
  <c r="H22" i="47" s="1"/>
  <c r="AK30" i="3"/>
  <c r="E13" i="49"/>
  <c r="G22" i="49" s="1"/>
  <c r="H22" i="49" s="1"/>
  <c r="AK32" i="3"/>
  <c r="E13" i="51"/>
  <c r="G22" i="51" s="1"/>
  <c r="H22" i="51" s="1"/>
  <c r="AK34" i="3"/>
  <c r="E13" i="53"/>
  <c r="G22" i="53" s="1"/>
  <c r="H22" i="53" s="1"/>
  <c r="AK36" i="3"/>
  <c r="E13" i="55"/>
  <c r="G22" i="55" s="1"/>
  <c r="H22" i="55" s="1"/>
  <c r="AK38" i="3"/>
  <c r="E13" i="57"/>
  <c r="G22" i="57" s="1"/>
  <c r="H22" i="57" s="1"/>
  <c r="AK8" i="3"/>
  <c r="E13" i="4"/>
  <c r="G25" i="4" s="1"/>
  <c r="H25" i="4" s="1"/>
  <c r="AK9" i="3"/>
  <c r="E13" i="5"/>
  <c r="G22" i="5" s="1"/>
  <c r="H22" i="5" s="1"/>
  <c r="AK11" i="3"/>
  <c r="E13" i="7"/>
  <c r="G22" i="7" s="1"/>
  <c r="H22" i="7" s="1"/>
  <c r="AK13" i="3"/>
  <c r="E13" i="9"/>
  <c r="G22" i="9" s="1"/>
  <c r="H22" i="9" s="1"/>
  <c r="AK15" i="3"/>
  <c r="E13" i="11"/>
  <c r="G22" i="11" s="1"/>
  <c r="H22" i="11" s="1"/>
  <c r="AK17" i="3"/>
  <c r="E13" i="36"/>
  <c r="G22" i="36" s="1"/>
  <c r="H22" i="36" s="1"/>
  <c r="AK19" i="3"/>
  <c r="E13" i="38"/>
  <c r="G22" i="38" s="1"/>
  <c r="H22" i="38" s="1"/>
  <c r="AK21" i="3"/>
  <c r="E13" i="40"/>
  <c r="G22" i="40" s="1"/>
  <c r="H22" i="40" s="1"/>
  <c r="AK23" i="3"/>
  <c r="E13" i="42"/>
  <c r="G22" i="42" s="1"/>
  <c r="H22" i="42" s="1"/>
  <c r="AK25" i="3"/>
  <c r="E13" i="44"/>
  <c r="G22" i="44" s="1"/>
  <c r="H22" i="44" s="1"/>
  <c r="AK27" i="3"/>
  <c r="E13" i="46"/>
  <c r="G22" i="46" s="1"/>
  <c r="H22" i="46" s="1"/>
  <c r="AK29" i="3"/>
  <c r="E13" i="48"/>
  <c r="G22" i="48" s="1"/>
  <c r="H22" i="48" s="1"/>
  <c r="AK31" i="3"/>
  <c r="E13" i="50"/>
  <c r="G22" i="50" s="1"/>
  <c r="H22" i="50" s="1"/>
  <c r="AK33" i="3"/>
  <c r="E13" i="52"/>
  <c r="G22" i="52" s="1"/>
  <c r="H22" i="52" s="1"/>
  <c r="AK35" i="3"/>
  <c r="E13" i="54"/>
  <c r="G22" i="54" s="1"/>
  <c r="H22" i="54" s="1"/>
  <c r="AK37" i="3"/>
  <c r="E13" i="56"/>
  <c r="G22" i="56" s="1"/>
  <c r="H22" i="56" s="1"/>
  <c r="E13" i="58"/>
  <c r="G22" i="58" s="1"/>
  <c r="AK39" i="3"/>
  <c r="C39" i="3"/>
  <c r="A34" i="3"/>
  <c r="A35" i="3" s="1"/>
  <c r="A36" i="3" s="1"/>
  <c r="A37" i="3" s="1"/>
  <c r="A38" i="3" s="1"/>
  <c r="A39" i="3" s="1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H22" i="8" l="1"/>
  <c r="H22" i="6"/>
  <c r="H22" i="58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G109" i="2"/>
  <c r="H109" i="2" s="1"/>
  <c r="AF8" i="3" s="1"/>
  <c r="E32" i="4" s="1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G55" i="2" s="1"/>
  <c r="F56" i="2"/>
  <c r="F39" i="2"/>
  <c r="G39" i="2" s="1"/>
  <c r="H39" i="2" s="1"/>
  <c r="AC8" i="3" s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5" i="2"/>
  <c r="G5" i="2" s="1"/>
  <c r="H5" i="2" s="1"/>
  <c r="AB8" i="3" s="1"/>
  <c r="E28" i="4" s="1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AJ8" i="3" l="1"/>
  <c r="E29" i="4"/>
  <c r="G32" i="4" s="1"/>
  <c r="G111" i="2"/>
  <c r="H111" i="2" s="1"/>
  <c r="AF10" i="3" s="1"/>
  <c r="E32" i="6" s="1"/>
  <c r="G113" i="2"/>
  <c r="H113" i="2" s="1"/>
  <c r="AF12" i="3" s="1"/>
  <c r="E32" i="8" s="1"/>
  <c r="G115" i="2"/>
  <c r="H115" i="2" s="1"/>
  <c r="AF14" i="3" s="1"/>
  <c r="E32" i="10" s="1"/>
  <c r="G117" i="2"/>
  <c r="H117" i="2" s="1"/>
  <c r="AF16" i="3" s="1"/>
  <c r="E32" i="12" s="1"/>
  <c r="G119" i="2"/>
  <c r="H119" i="2" s="1"/>
  <c r="AF18" i="3" s="1"/>
  <c r="E32" i="37" s="1"/>
  <c r="G121" i="2"/>
  <c r="H121" i="2" s="1"/>
  <c r="AF20" i="3" s="1"/>
  <c r="E32" i="39" s="1"/>
  <c r="G123" i="2"/>
  <c r="H123" i="2" s="1"/>
  <c r="AF22" i="3" s="1"/>
  <c r="E32" i="41" s="1"/>
  <c r="G125" i="2"/>
  <c r="H125" i="2" s="1"/>
  <c r="AF24" i="3" s="1"/>
  <c r="E32" i="43" s="1"/>
  <c r="H55" i="2"/>
  <c r="AC24" i="3" s="1"/>
  <c r="G135" i="2"/>
  <c r="H135" i="2" s="1"/>
  <c r="AF34" i="3" s="1"/>
  <c r="E32" i="53" s="1"/>
  <c r="G129" i="2"/>
  <c r="H129" i="2" s="1"/>
  <c r="AF28" i="3" s="1"/>
  <c r="E32" i="47" s="1"/>
  <c r="G127" i="2"/>
  <c r="H127" i="2" s="1"/>
  <c r="AF26" i="3" s="1"/>
  <c r="E32" i="45" s="1"/>
  <c r="G41" i="2"/>
  <c r="H41" i="2" s="1"/>
  <c r="AC10" i="3" s="1"/>
  <c r="G110" i="2"/>
  <c r="H110" i="2" s="1"/>
  <c r="AF9" i="3" s="1"/>
  <c r="E32" i="5" s="1"/>
  <c r="G112" i="2"/>
  <c r="H112" i="2" s="1"/>
  <c r="AF11" i="3" s="1"/>
  <c r="E32" i="7" s="1"/>
  <c r="G114" i="2"/>
  <c r="H114" i="2" s="1"/>
  <c r="AF13" i="3" s="1"/>
  <c r="E32" i="9" s="1"/>
  <c r="G116" i="2"/>
  <c r="H116" i="2" s="1"/>
  <c r="AF15" i="3" s="1"/>
  <c r="E32" i="11" s="1"/>
  <c r="G118" i="2"/>
  <c r="H118" i="2" s="1"/>
  <c r="AF17" i="3" s="1"/>
  <c r="E32" i="36" s="1"/>
  <c r="G120" i="2"/>
  <c r="H120" i="2" s="1"/>
  <c r="AF19" i="3" s="1"/>
  <c r="E32" i="38" s="1"/>
  <c r="G122" i="2"/>
  <c r="H122" i="2" s="1"/>
  <c r="AF21" i="3" s="1"/>
  <c r="E32" i="40" s="1"/>
  <c r="G124" i="2"/>
  <c r="H124" i="2" s="1"/>
  <c r="AF23" i="3" s="1"/>
  <c r="E32" i="42" s="1"/>
  <c r="G126" i="2"/>
  <c r="H126" i="2" s="1"/>
  <c r="AF25" i="3" s="1"/>
  <c r="E32" i="44" s="1"/>
  <c r="G28" i="2"/>
  <c r="H28" i="2" s="1"/>
  <c r="AB31" i="3" s="1"/>
  <c r="E28" i="50" s="1"/>
  <c r="G24" i="2"/>
  <c r="H24" i="2" s="1"/>
  <c r="AB27" i="3" s="1"/>
  <c r="E28" i="46" s="1"/>
  <c r="G139" i="2"/>
  <c r="H139" i="2" s="1"/>
  <c r="AF38" i="3" s="1"/>
  <c r="E32" i="57" s="1"/>
  <c r="G136" i="2"/>
  <c r="H136" i="2" s="1"/>
  <c r="AF35" i="3" s="1"/>
  <c r="E32" i="54" s="1"/>
  <c r="G134" i="2"/>
  <c r="H134" i="2" s="1"/>
  <c r="AF33" i="3" s="1"/>
  <c r="E32" i="52" s="1"/>
  <c r="G27" i="2"/>
  <c r="H27" i="2" s="1"/>
  <c r="AB30" i="3" s="1"/>
  <c r="E28" i="49" s="1"/>
  <c r="G25" i="2"/>
  <c r="H25" i="2" s="1"/>
  <c r="AB28" i="3" s="1"/>
  <c r="E28" i="47" s="1"/>
  <c r="G23" i="2"/>
  <c r="H23" i="2" s="1"/>
  <c r="AB26" i="3" s="1"/>
  <c r="E28" i="45" s="1"/>
  <c r="G132" i="2"/>
  <c r="H132" i="2" s="1"/>
  <c r="AF31" i="3" s="1"/>
  <c r="E32" i="50" s="1"/>
  <c r="G130" i="2"/>
  <c r="H130" i="2" s="1"/>
  <c r="AF29" i="3" s="1"/>
  <c r="E32" i="48" s="1"/>
  <c r="G138" i="2"/>
  <c r="H138" i="2" s="1"/>
  <c r="AF37" i="3" s="1"/>
  <c r="E32" i="56" s="1"/>
  <c r="G137" i="2"/>
  <c r="H137" i="2" s="1"/>
  <c r="AF36" i="3" s="1"/>
  <c r="E32" i="55" s="1"/>
  <c r="G131" i="2"/>
  <c r="H131" i="2" s="1"/>
  <c r="AF30" i="3" s="1"/>
  <c r="E32" i="49" s="1"/>
  <c r="AF39" i="3"/>
  <c r="E32" i="58" s="1"/>
  <c r="G133" i="2"/>
  <c r="H133" i="2" s="1"/>
  <c r="AF32" i="3" s="1"/>
  <c r="E32" i="51" s="1"/>
  <c r="G128" i="2"/>
  <c r="H128" i="2" s="1"/>
  <c r="AF27" i="3" s="1"/>
  <c r="E32" i="46" s="1"/>
  <c r="G68" i="2"/>
  <c r="G67" i="2"/>
  <c r="G63" i="2"/>
  <c r="G62" i="2"/>
  <c r="G61" i="2"/>
  <c r="G58" i="2"/>
  <c r="G57" i="2"/>
  <c r="G47" i="2"/>
  <c r="G69" i="2"/>
  <c r="G44" i="2"/>
  <c r="G46" i="2"/>
  <c r="G52" i="2"/>
  <c r="G54" i="2"/>
  <c r="G43" i="2"/>
  <c r="G45" i="2"/>
  <c r="G60" i="2"/>
  <c r="G59" i="2"/>
  <c r="G11" i="2"/>
  <c r="H11" i="2" s="1"/>
  <c r="AB14" i="3" s="1"/>
  <c r="E28" i="10" s="1"/>
  <c r="G13" i="2"/>
  <c r="H13" i="2" s="1"/>
  <c r="AB16" i="3" s="1"/>
  <c r="E28" i="12" s="1"/>
  <c r="G15" i="2"/>
  <c r="H15" i="2" s="1"/>
  <c r="AB18" i="3" s="1"/>
  <c r="G17" i="2"/>
  <c r="H17" i="2" s="1"/>
  <c r="AB20" i="3" s="1"/>
  <c r="E28" i="39" s="1"/>
  <c r="G49" i="2"/>
  <c r="G51" i="2"/>
  <c r="G53" i="2"/>
  <c r="G66" i="2"/>
  <c r="G65" i="2"/>
  <c r="G64" i="2"/>
  <c r="G18" i="2"/>
  <c r="H18" i="2" s="1"/>
  <c r="AB21" i="3" s="1"/>
  <c r="E28" i="40" s="1"/>
  <c r="G10" i="2"/>
  <c r="H10" i="2" s="1"/>
  <c r="AB13" i="3" s="1"/>
  <c r="E28" i="9" s="1"/>
  <c r="G40" i="2"/>
  <c r="G42" i="2"/>
  <c r="G48" i="2"/>
  <c r="G50" i="2"/>
  <c r="G56" i="2"/>
  <c r="G6" i="2"/>
  <c r="H6" i="2" s="1"/>
  <c r="AB9" i="3" s="1"/>
  <c r="E28" i="5" s="1"/>
  <c r="G22" i="2"/>
  <c r="H22" i="2" s="1"/>
  <c r="AB25" i="3" s="1"/>
  <c r="E28" i="44" s="1"/>
  <c r="G14" i="2"/>
  <c r="H14" i="2" s="1"/>
  <c r="AB17" i="3" s="1"/>
  <c r="G32" i="2"/>
  <c r="H32" i="2" s="1"/>
  <c r="AB35" i="3" s="1"/>
  <c r="E28" i="54" s="1"/>
  <c r="G7" i="2"/>
  <c r="H7" i="2" s="1"/>
  <c r="AB10" i="3" s="1"/>
  <c r="E28" i="6" s="1"/>
  <c r="G9" i="2"/>
  <c r="H9" i="2" s="1"/>
  <c r="AB12" i="3" s="1"/>
  <c r="E28" i="8" s="1"/>
  <c r="G19" i="2"/>
  <c r="H19" i="2" s="1"/>
  <c r="AB22" i="3" s="1"/>
  <c r="E28" i="41" s="1"/>
  <c r="G21" i="2"/>
  <c r="H21" i="2" s="1"/>
  <c r="AB24" i="3" s="1"/>
  <c r="E28" i="43" s="1"/>
  <c r="G35" i="2"/>
  <c r="H35" i="2" s="1"/>
  <c r="AB38" i="3" s="1"/>
  <c r="E28" i="57" s="1"/>
  <c r="G33" i="2"/>
  <c r="H33" i="2" s="1"/>
  <c r="AB36" i="3" s="1"/>
  <c r="E28" i="55" s="1"/>
  <c r="G31" i="2"/>
  <c r="H31" i="2" s="1"/>
  <c r="AB34" i="3" s="1"/>
  <c r="E28" i="53" s="1"/>
  <c r="G29" i="2"/>
  <c r="H29" i="2" s="1"/>
  <c r="AB32" i="3" s="1"/>
  <c r="E28" i="51" s="1"/>
  <c r="G34" i="2"/>
  <c r="H34" i="2" s="1"/>
  <c r="AB37" i="3" s="1"/>
  <c r="E28" i="56" s="1"/>
  <c r="G26" i="2"/>
  <c r="H26" i="2" s="1"/>
  <c r="AB29" i="3" s="1"/>
  <c r="E28" i="48" s="1"/>
  <c r="G30" i="2"/>
  <c r="H30" i="2" s="1"/>
  <c r="AB33" i="3" s="1"/>
  <c r="E28" i="52" s="1"/>
  <c r="G20" i="2"/>
  <c r="H20" i="2" s="1"/>
  <c r="AB23" i="3" s="1"/>
  <c r="E28" i="42" s="1"/>
  <c r="G16" i="2"/>
  <c r="H16" i="2" s="1"/>
  <c r="AB19" i="3" s="1"/>
  <c r="E28" i="38" s="1"/>
  <c r="G12" i="2"/>
  <c r="H12" i="2" s="1"/>
  <c r="AB15" i="3" s="1"/>
  <c r="E28" i="11" s="1"/>
  <c r="G8" i="2"/>
  <c r="H8" i="2" s="1"/>
  <c r="AB11" i="3" s="1"/>
  <c r="E28" i="7" s="1"/>
  <c r="E28" i="36" l="1"/>
  <c r="E28" i="37"/>
  <c r="H32" i="4"/>
  <c r="E29" i="6"/>
  <c r="G29" i="6" s="1"/>
  <c r="AJ10" i="3"/>
  <c r="E29" i="43"/>
  <c r="G29" i="43" s="1"/>
  <c r="AJ24" i="3"/>
  <c r="H50" i="2"/>
  <c r="AC19" i="3" s="1"/>
  <c r="H42" i="2"/>
  <c r="AC11" i="3" s="1"/>
  <c r="H64" i="2"/>
  <c r="AC33" i="3" s="1"/>
  <c r="H66" i="2"/>
  <c r="AC35" i="3" s="1"/>
  <c r="H51" i="2"/>
  <c r="AC20" i="3" s="1"/>
  <c r="H59" i="2"/>
  <c r="AC28" i="3" s="1"/>
  <c r="H45" i="2"/>
  <c r="AC14" i="3" s="1"/>
  <c r="H52" i="2"/>
  <c r="AC21" i="3" s="1"/>
  <c r="H44" i="2"/>
  <c r="AC13" i="3" s="1"/>
  <c r="AC39" i="3"/>
  <c r="H57" i="2"/>
  <c r="AC26" i="3" s="1"/>
  <c r="H61" i="2"/>
  <c r="AC30" i="3" s="1"/>
  <c r="H63" i="2"/>
  <c r="AC32" i="3" s="1"/>
  <c r="H68" i="2"/>
  <c r="AC37" i="3" s="1"/>
  <c r="H56" i="2"/>
  <c r="AC25" i="3" s="1"/>
  <c r="H48" i="2"/>
  <c r="AC17" i="3" s="1"/>
  <c r="H40" i="2"/>
  <c r="AC9" i="3" s="1"/>
  <c r="H65" i="2"/>
  <c r="AC34" i="3" s="1"/>
  <c r="H53" i="2"/>
  <c r="AC22" i="3" s="1"/>
  <c r="H49" i="2"/>
  <c r="AC18" i="3" s="1"/>
  <c r="H60" i="2"/>
  <c r="AC29" i="3" s="1"/>
  <c r="H43" i="2"/>
  <c r="AC12" i="3" s="1"/>
  <c r="H54" i="2"/>
  <c r="AC23" i="3" s="1"/>
  <c r="H46" i="2"/>
  <c r="AC15" i="3" s="1"/>
  <c r="H69" i="2"/>
  <c r="AC38" i="3" s="1"/>
  <c r="H47" i="2"/>
  <c r="AC16" i="3" s="1"/>
  <c r="H58" i="2"/>
  <c r="AC27" i="3" s="1"/>
  <c r="H62" i="2"/>
  <c r="AC31" i="3" s="1"/>
  <c r="H67" i="2"/>
  <c r="AC36" i="3" s="1"/>
  <c r="H29" i="43" l="1"/>
  <c r="H29" i="6"/>
  <c r="E29" i="58"/>
  <c r="G29" i="58" s="1"/>
  <c r="AJ39" i="3"/>
  <c r="E29" i="50"/>
  <c r="G29" i="50" s="1"/>
  <c r="AJ31" i="3"/>
  <c r="E29" i="12"/>
  <c r="G29" i="12" s="1"/>
  <c r="AJ16" i="3"/>
  <c r="E29" i="11"/>
  <c r="G29" i="11" s="1"/>
  <c r="AJ15" i="3"/>
  <c r="E29" i="8"/>
  <c r="G29" i="8" s="1"/>
  <c r="AJ12" i="3"/>
  <c r="E29" i="37"/>
  <c r="G29" i="37" s="1"/>
  <c r="AJ18" i="3"/>
  <c r="E29" i="53"/>
  <c r="G29" i="53" s="1"/>
  <c r="AJ34" i="3"/>
  <c r="E29" i="36"/>
  <c r="G29" i="36" s="1"/>
  <c r="AJ17" i="3"/>
  <c r="E29" i="56"/>
  <c r="G29" i="56" s="1"/>
  <c r="AJ37" i="3"/>
  <c r="E29" i="49"/>
  <c r="G29" i="49" s="1"/>
  <c r="AJ30" i="3"/>
  <c r="E29" i="40"/>
  <c r="G29" i="40" s="1"/>
  <c r="AJ21" i="3"/>
  <c r="E29" i="47"/>
  <c r="G29" i="47" s="1"/>
  <c r="AJ28" i="3"/>
  <c r="E29" i="54"/>
  <c r="G29" i="54" s="1"/>
  <c r="AJ35" i="3"/>
  <c r="E29" i="7"/>
  <c r="G29" i="7" s="1"/>
  <c r="AJ11" i="3"/>
  <c r="E29" i="55"/>
  <c r="G29" i="55" s="1"/>
  <c r="AJ36" i="3"/>
  <c r="E29" i="46"/>
  <c r="G29" i="46" s="1"/>
  <c r="AJ27" i="3"/>
  <c r="E29" i="57"/>
  <c r="G29" i="57" s="1"/>
  <c r="AJ38" i="3"/>
  <c r="E29" i="42"/>
  <c r="G29" i="42" s="1"/>
  <c r="AJ23" i="3"/>
  <c r="E29" i="48"/>
  <c r="G29" i="48" s="1"/>
  <c r="AJ29" i="3"/>
  <c r="E29" i="41"/>
  <c r="G29" i="41" s="1"/>
  <c r="AJ22" i="3"/>
  <c r="E29" i="5"/>
  <c r="G29" i="5" s="1"/>
  <c r="AJ9" i="3"/>
  <c r="E29" i="44"/>
  <c r="G29" i="44" s="1"/>
  <c r="AJ25" i="3"/>
  <c r="E29" i="51"/>
  <c r="G29" i="51" s="1"/>
  <c r="AJ32" i="3"/>
  <c r="E29" i="45"/>
  <c r="G29" i="45" s="1"/>
  <c r="AJ26" i="3"/>
  <c r="E29" i="9"/>
  <c r="G29" i="9" s="1"/>
  <c r="AJ13" i="3"/>
  <c r="E29" i="10"/>
  <c r="G29" i="10" s="1"/>
  <c r="AJ14" i="3"/>
  <c r="E29" i="39"/>
  <c r="G29" i="39" s="1"/>
  <c r="AJ20" i="3"/>
  <c r="E29" i="52"/>
  <c r="G29" i="52" s="1"/>
  <c r="AJ33" i="3"/>
  <c r="E29" i="38"/>
  <c r="G29" i="38" s="1"/>
  <c r="AJ19" i="3"/>
  <c r="H29" i="38" l="1"/>
  <c r="H29" i="52"/>
  <c r="H29" i="39"/>
  <c r="H29" i="10"/>
  <c r="H29" i="9"/>
  <c r="H29" i="45"/>
  <c r="H29" i="51"/>
  <c r="H29" i="44"/>
  <c r="H29" i="5"/>
  <c r="H29" i="41"/>
  <c r="H29" i="48"/>
  <c r="H29" i="42"/>
  <c r="H29" i="57"/>
  <c r="H29" i="46"/>
  <c r="H29" i="55"/>
  <c r="H29" i="7"/>
  <c r="H29" i="54"/>
  <c r="H29" i="47"/>
  <c r="H29" i="40"/>
  <c r="H29" i="49"/>
  <c r="H29" i="56"/>
  <c r="H29" i="36"/>
  <c r="H29" i="53"/>
  <c r="H29" i="37"/>
  <c r="H29" i="8"/>
  <c r="H29" i="11"/>
  <c r="H29" i="12"/>
  <c r="H29" i="50"/>
  <c r="H29" i="58"/>
</calcChain>
</file>

<file path=xl/comments1.xml><?xml version="1.0" encoding="utf-8"?>
<comments xmlns="http://schemas.openxmlformats.org/spreadsheetml/2006/main">
  <authors>
    <author>1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Постановление №24П от 02.02.18., приложение 4
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Распоряжение №51 от 28.12.17г.
</t>
        </r>
      </text>
    </comment>
    <comment ref="D38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Приказ ДЖКХ 12НП от 25.12.17, приложение №4
</t>
        </r>
      </text>
    </comment>
    <comment ref="F38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приказ 160 НП
</t>
        </r>
      </text>
    </comment>
    <comment ref="D74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Приказ ДЖКХ 12НП от 25.12.17, приложение №4
</t>
        </r>
      </text>
    </comment>
    <comment ref="F74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приказ 160 НП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Приказ ДЖКХ 12НП от 25.12.17, приложение №4
</t>
        </r>
      </text>
    </comment>
    <comment ref="F108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приказ 160 НП
</t>
        </r>
      </text>
    </comment>
  </commentList>
</comments>
</file>

<file path=xl/sharedStrings.xml><?xml version="1.0" encoding="utf-8"?>
<sst xmlns="http://schemas.openxmlformats.org/spreadsheetml/2006/main" count="1435" uniqueCount="140">
  <si>
    <t>Итого по направлениям</t>
  </si>
  <si>
    <t>№ п/п</t>
  </si>
  <si>
    <t>Наименование</t>
  </si>
  <si>
    <t>ПРЭТ 3</t>
  </si>
  <si>
    <t>Подрядчик</t>
  </si>
  <si>
    <t>Коммунальные ресурсы на ОДН</t>
  </si>
  <si>
    <t xml:space="preserve"> </t>
  </si>
  <si>
    <t>Содержание и техническое обслуживание внутридомовых систем электроснабжения</t>
  </si>
  <si>
    <t>Общая площадь дома/м2</t>
  </si>
  <si>
    <t>Общая площадь помещений общего пользования/м2</t>
  </si>
  <si>
    <t>Норматив на ОДН в месяц</t>
  </si>
  <si>
    <t>кол-во электроэнергии на ОДН по нормативу в месяц</t>
  </si>
  <si>
    <t>Тариф на электроэнергию с НДС</t>
  </si>
  <si>
    <t>Стоимость услуги за месяц по нормативу с НДС</t>
  </si>
  <si>
    <t>Размер платы в месяц руб/м2</t>
  </si>
  <si>
    <t>кол-во на ОДН по нормативу в месяц</t>
  </si>
  <si>
    <t>Тариф  с НДС</t>
  </si>
  <si>
    <t>Общая площадь жилых и нежилых помещений, м2</t>
  </si>
  <si>
    <t xml:space="preserve">Управление  многоквартирным домом   </t>
  </si>
  <si>
    <t>Текущий ремонт МКД</t>
  </si>
  <si>
    <t>Итого по ОДН</t>
  </si>
  <si>
    <t>Адрес  МКД</t>
  </si>
  <si>
    <t>Сбор и вывоз твердых коммунальных отходов</t>
  </si>
  <si>
    <t>Содержание и техническое обслуживание конструктивных элементов</t>
  </si>
  <si>
    <t>Содержание и техническое обслуживание внутридомовых систем холодного и горячего водоснабжения, отопления и канализации</t>
  </si>
  <si>
    <t>Дератизация, дезинсекция помещений</t>
  </si>
  <si>
    <t>Благоустройство придомовой территории</t>
  </si>
  <si>
    <t>Механизированная уборка территорий от снега</t>
  </si>
  <si>
    <t>Содержание, техническое обслуживание КОДПУ тепловой энергии на отопление</t>
  </si>
  <si>
    <t>Содержание, техническое обслуживание КОДПУ горячего водоснабжения</t>
  </si>
  <si>
    <t>Содержание, техническое обслуживание КОДПУ холодного водоснабжения</t>
  </si>
  <si>
    <t>Поверка, замена вышедшего из строя оборудования коллективног ОПУ тепловой энергии на отопление</t>
  </si>
  <si>
    <t>Поверка, замена вышедшего из строя оборудования коллективног ОПУ горячего водоснабжения</t>
  </si>
  <si>
    <t>Поверка, замена вышедшего из строя оборудования коллективног ОПУ холодного водоснабжения</t>
  </si>
  <si>
    <t>Поверка, замена вышедшего из строя оборудования коллективног ОПУ электрической энергии</t>
  </si>
  <si>
    <t>Техническое обслуживание систем аудидомофонной связи</t>
  </si>
  <si>
    <t xml:space="preserve">текущий ремонт конструктивных элементов </t>
  </si>
  <si>
    <t>текущий ремонт внутридомовых систем холодного и горячего водоснабжения, отопления и водоотведения в МКД</t>
  </si>
  <si>
    <t>текущий ремонт  систем электроснабжения в МКД</t>
  </si>
  <si>
    <t>текущий ремонт  подъездов в МКД</t>
  </si>
  <si>
    <t>корректировка по текущему ремонту</t>
  </si>
  <si>
    <t>Электрическая энергия, потребляемая при содержании общего имущества в МКД</t>
  </si>
  <si>
    <t>Холодная вода, потребляемая при содержании общего имущества в МКД</t>
  </si>
  <si>
    <t>Горячая вода, потребляемая при содержании общего имущества в МКД</t>
  </si>
  <si>
    <t>Водоотведение при содержании общего имущества в МКД</t>
  </si>
  <si>
    <t>5-ти этажные дома</t>
  </si>
  <si>
    <t>Ленина  1</t>
  </si>
  <si>
    <t>Ленина  1а</t>
  </si>
  <si>
    <t>Ленина  3</t>
  </si>
  <si>
    <t>Ленина  3 а</t>
  </si>
  <si>
    <t>Ленина  3 б</t>
  </si>
  <si>
    <t>Менделеева  16</t>
  </si>
  <si>
    <t>Менделеева  16а</t>
  </si>
  <si>
    <t>Менделеева  18</t>
  </si>
  <si>
    <t>Менделеева  20</t>
  </si>
  <si>
    <t>Менделеева  22</t>
  </si>
  <si>
    <t>Менделеева  24</t>
  </si>
  <si>
    <t>Менделеева  24а</t>
  </si>
  <si>
    <t>Мира   2</t>
  </si>
  <si>
    <t>Мира   2а</t>
  </si>
  <si>
    <t>Мира   4</t>
  </si>
  <si>
    <t>Мира   4а</t>
  </si>
  <si>
    <t>Мира   6</t>
  </si>
  <si>
    <t>Мира   6а</t>
  </si>
  <si>
    <t>Мира   8</t>
  </si>
  <si>
    <t>Мира   8а</t>
  </si>
  <si>
    <t>Мира   10</t>
  </si>
  <si>
    <t>Мира   10а</t>
  </si>
  <si>
    <t>Мира   12</t>
  </si>
  <si>
    <t>Мира   12а</t>
  </si>
  <si>
    <t>Мира   12б</t>
  </si>
  <si>
    <t>Победы  17а</t>
  </si>
  <si>
    <t>Победы  19а</t>
  </si>
  <si>
    <t>Победы  21а</t>
  </si>
  <si>
    <t>Победы  23</t>
  </si>
  <si>
    <t>Победы  25</t>
  </si>
  <si>
    <t>Победы  21(вставка)</t>
  </si>
  <si>
    <t>Уборка и санитарно-гигиеническая очистка земельного участка и контейнерных площадок</t>
  </si>
  <si>
    <t>Расходы по работе на содержание, ремонт и техническое обслуживание общего имущества МКД в месяц, тарифы с НДС</t>
  </si>
  <si>
    <t>Расходы по коммунальным услугам, потребляемым на содержание общего имущества МКД в месяц, тарифы с учетом НДС</t>
  </si>
  <si>
    <t>Уборка и санитарно-гигиеническая очистка 
лестничных клеток</t>
  </si>
  <si>
    <t>Старые тарифы</t>
  </si>
  <si>
    <t>Пересчет на увеличение цены</t>
  </si>
  <si>
    <t>Старые тарифы 
норма бала 0,072</t>
  </si>
  <si>
    <t>Старые тарифы 
норма была 0,072</t>
  </si>
  <si>
    <t>Приложение № 1</t>
  </si>
  <si>
    <t>к приказу ________ от  "____"   ____  2018г.</t>
  </si>
  <si>
    <t>Наименование услуг</t>
  </si>
  <si>
    <t>ед.изм.</t>
  </si>
  <si>
    <t>Тариф с учетом НДС</t>
  </si>
  <si>
    <t>м2</t>
  </si>
  <si>
    <t xml:space="preserve">* взимается в год поверки </t>
  </si>
  <si>
    <t>* Размеры платы на коммунальные ресурсы, используемые при содержании общедомового имущества, расчитывается исходя из установленного норматива и утвержденного тарифа на каждый вид коммунального ресурса, может изменяться при изменении норматива, тарифа. Раз в год  производится перерасчет платы за коммунальные ресурсы, используемые на общественные нужды, на основании фактических показателей коллективных общедомовых приборов учета при условии, что данные показания не превышают установленные нормативы.</t>
  </si>
  <si>
    <t>Ведущий экономист ПЭО</t>
  </si>
  <si>
    <t>Печёркина Е.А.</t>
  </si>
  <si>
    <t>№ 1 ул. Ленина</t>
  </si>
  <si>
    <t>Размер платы на содержание общего имущества многоквартирного дома</t>
  </si>
  <si>
    <t>Расходы по коммунальным услугам, потребленным на содержание общего иммущества многоквартирного дома</t>
  </si>
  <si>
    <t>№ 1А ул. Ленина</t>
  </si>
  <si>
    <t>№ 3 ул. Ленина</t>
  </si>
  <si>
    <t>№ 3А ул. Ленина</t>
  </si>
  <si>
    <t>№ 3Б ул. Ленина</t>
  </si>
  <si>
    <t>№ 16 ул. Менделеева</t>
  </si>
  <si>
    <t>№ 16А ул. Менделеева</t>
  </si>
  <si>
    <t>№ 18 ул. Менделеева</t>
  </si>
  <si>
    <t>№ 20 ул. Менделеева</t>
  </si>
  <si>
    <t>№ 22 ул. Менделеева</t>
  </si>
  <si>
    <t>№ 24 ул. Менделеева</t>
  </si>
  <si>
    <t>№ 24А ул. Менделеева</t>
  </si>
  <si>
    <t>№ 2 ул. Мира</t>
  </si>
  <si>
    <t>№ 2А ул. Мира</t>
  </si>
  <si>
    <t>№ 4 ул. Мира</t>
  </si>
  <si>
    <t>№ 4А ул. Мира</t>
  </si>
  <si>
    <t>№ 6 ул. Мира</t>
  </si>
  <si>
    <t>№ 6А ул. Мира</t>
  </si>
  <si>
    <t>№ 8 ул. Мира</t>
  </si>
  <si>
    <t>№ 8А ул. Мира</t>
  </si>
  <si>
    <t>№ 10 ул. Мира</t>
  </si>
  <si>
    <t>№ 10А ул. Мира</t>
  </si>
  <si>
    <t>№ 12 ул. Мира</t>
  </si>
  <si>
    <t>№ 12А ул. Мира</t>
  </si>
  <si>
    <t>№ 12Б ул. Мира</t>
  </si>
  <si>
    <t>№ 19А ул. Проспект Победы</t>
  </si>
  <si>
    <t>Холодная вода в составе горячей на содержание общего имущества МКД</t>
  </si>
  <si>
    <t>ИТОГО на содержание</t>
  </si>
  <si>
    <t>№ 17А ул. Пропект Победы</t>
  </si>
  <si>
    <t>№ 21А ул. Мира</t>
  </si>
  <si>
    <t>№ 23 ул. Мира</t>
  </si>
  <si>
    <t>№ 25 ул. Мира</t>
  </si>
  <si>
    <t>№ 21 ул. Мира (вставка)</t>
  </si>
  <si>
    <t>Победы  21 и вставка</t>
  </si>
  <si>
    <t>№ 21 ул. Мира и вставка</t>
  </si>
  <si>
    <t>Горячая вода, потребляемая при содержании общего имущества в МКД/Холодная вода в составе горячей на содержание общего имущества МКД</t>
  </si>
  <si>
    <t>Приложение № 3</t>
  </si>
  <si>
    <r>
      <t xml:space="preserve">к приказу </t>
    </r>
    <r>
      <rPr>
        <u/>
        <sz val="8"/>
        <rFont val="Arial Narrow"/>
        <family val="2"/>
        <charset val="204"/>
      </rPr>
      <t>401</t>
    </r>
    <r>
      <rPr>
        <sz val="8"/>
        <rFont val="Arial Narrow"/>
        <family val="2"/>
        <charset val="204"/>
      </rPr>
      <t xml:space="preserve"> от  "</t>
    </r>
    <r>
      <rPr>
        <u/>
        <sz val="8"/>
        <rFont val="Arial Narrow"/>
        <family val="2"/>
        <charset val="204"/>
      </rPr>
      <t>25</t>
    </r>
    <r>
      <rPr>
        <sz val="8"/>
        <rFont val="Arial Narrow"/>
        <family val="2"/>
        <charset val="204"/>
      </rPr>
      <t xml:space="preserve">"   </t>
    </r>
    <r>
      <rPr>
        <u/>
        <sz val="8"/>
        <rFont val="Arial Narrow"/>
        <family val="2"/>
        <charset val="204"/>
      </rPr>
      <t>07</t>
    </r>
    <r>
      <rPr>
        <sz val="8"/>
        <rFont val="Arial Narrow"/>
        <family val="2"/>
        <charset val="204"/>
      </rPr>
      <t xml:space="preserve">  </t>
    </r>
    <r>
      <rPr>
        <u/>
        <sz val="8"/>
        <rFont val="Arial Narrow"/>
        <family val="2"/>
        <charset val="204"/>
      </rPr>
      <t>2018г.</t>
    </r>
  </si>
  <si>
    <r>
      <t xml:space="preserve">к приказу </t>
    </r>
    <r>
      <rPr>
        <u/>
        <sz val="12"/>
        <rFont val="Times New Roman"/>
        <family val="1"/>
        <charset val="204"/>
      </rPr>
      <t>401</t>
    </r>
    <r>
      <rPr>
        <sz val="12"/>
        <rFont val="Times New Roman"/>
        <family val="1"/>
        <charset val="204"/>
      </rPr>
      <t xml:space="preserve"> от  "</t>
    </r>
    <r>
      <rPr>
        <u/>
        <sz val="12"/>
        <rFont val="Times New Roman"/>
        <family val="1"/>
        <charset val="204"/>
      </rPr>
      <t>25</t>
    </r>
    <r>
      <rPr>
        <sz val="12"/>
        <rFont val="Times New Roman"/>
        <family val="1"/>
        <charset val="204"/>
      </rPr>
      <t xml:space="preserve">"   </t>
    </r>
    <r>
      <rPr>
        <u/>
        <sz val="12"/>
        <rFont val="Times New Roman"/>
        <family val="1"/>
        <charset val="204"/>
      </rPr>
      <t>07</t>
    </r>
    <r>
      <rPr>
        <sz val="12"/>
        <rFont val="Times New Roman"/>
        <family val="1"/>
        <charset val="204"/>
      </rPr>
      <t xml:space="preserve">  </t>
    </r>
    <r>
      <rPr>
        <u/>
        <sz val="12"/>
        <rFont val="Times New Roman"/>
        <family val="1"/>
        <charset val="204"/>
      </rPr>
      <t>2018г.</t>
    </r>
  </si>
  <si>
    <t xml:space="preserve"> Размеры платы на коммунальные ресурсы, используемые при содержании общедомового имущества, расчитывается исходя из установленного норматива и утвержденного тарифа на каждый вид коммунального ресурса, может изменяться при изменении норматива, тарифа. Раз в год  производится перерасчет платы за коммунальные ресурсы, используемые на общественные нужды, на основании фактических показателей коллективных общедомовых приборов учета при условии, что данные показания не превышают установленные нормативы.</t>
  </si>
  <si>
    <t>________________________________________</t>
  </si>
  <si>
    <t>Е.А. Печёркина</t>
  </si>
  <si>
    <t>к приказу 401 от  "25"   07 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</si>
</sst>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</numFmts>
  <fonts count="54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color rgb="FF0070C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8"/>
      <color rgb="FF7030A0"/>
      <name val="Arial Narrow"/>
      <family val="2"/>
      <charset val="204"/>
    </font>
    <font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6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10"/>
      <color theme="0"/>
      <name val="Arial Narrow"/>
      <family val="2"/>
      <charset val="204"/>
    </font>
    <font>
      <b/>
      <sz val="8"/>
      <name val="Arial Narrow"/>
      <family val="2"/>
      <charset val="204"/>
    </font>
    <font>
      <b/>
      <i/>
      <sz val="8"/>
      <name val="Arial Narrow"/>
      <family val="2"/>
      <charset val="204"/>
    </font>
    <font>
      <u/>
      <sz val="8"/>
      <name val="Arial Narrow"/>
      <family val="2"/>
      <charset val="204"/>
    </font>
    <font>
      <sz val="8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u val="singleAccounting"/>
      <sz val="10"/>
      <name val="Arial Narrow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2">
    <xf numFmtId="0" fontId="0" fillId="0" borderId="0"/>
    <xf numFmtId="43" fontId="4" fillId="0" borderId="0" applyFont="0" applyFill="0" applyBorder="0" applyAlignment="0" applyProtection="0"/>
    <xf numFmtId="0" fontId="6" fillId="0" borderId="0"/>
    <xf numFmtId="0" fontId="5" fillId="0" borderId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24" borderId="12" applyNumberFormat="0" applyAlignment="0" applyProtection="0"/>
    <xf numFmtId="0" fontId="20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22" fillId="0" borderId="0"/>
    <xf numFmtId="0" fontId="7" fillId="0" borderId="0"/>
    <xf numFmtId="0" fontId="4" fillId="0" borderId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6" fillId="26" borderId="13" applyNumberFormat="0" applyFont="0" applyAlignment="0" applyProtection="0"/>
    <xf numFmtId="0" fontId="25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6">
    <xf numFmtId="0" fontId="0" fillId="0" borderId="0" xfId="0"/>
    <xf numFmtId="0" fontId="9" fillId="0" borderId="0" xfId="0" applyFont="1"/>
    <xf numFmtId="0" fontId="8" fillId="0" borderId="0" xfId="0" applyFont="1"/>
    <xf numFmtId="43" fontId="8" fillId="0" borderId="1" xfId="49" applyFont="1" applyBorder="1"/>
    <xf numFmtId="43" fontId="8" fillId="27" borderId="1" xfId="49" applyFont="1" applyFill="1" applyBorder="1"/>
    <xf numFmtId="9" fontId="8" fillId="0" borderId="0" xfId="48" applyFont="1"/>
    <xf numFmtId="2" fontId="8" fillId="0" borderId="0" xfId="0" applyNumberFormat="1" applyFont="1"/>
    <xf numFmtId="0" fontId="30" fillId="2" borderId="0" xfId="0" applyFont="1" applyFill="1"/>
    <xf numFmtId="0" fontId="30" fillId="0" borderId="0" xfId="0" applyFont="1"/>
    <xf numFmtId="0" fontId="31" fillId="2" borderId="0" xfId="0" applyFont="1" applyFill="1"/>
    <xf numFmtId="1" fontId="30" fillId="2" borderId="15" xfId="0" applyNumberFormat="1" applyFont="1" applyFill="1" applyBorder="1" applyAlignment="1">
      <alignment horizontal="center" vertical="center" wrapText="1"/>
    </xf>
    <xf numFmtId="0" fontId="31" fillId="2" borderId="15" xfId="0" applyFont="1" applyFill="1" applyBorder="1" applyAlignment="1">
      <alignment horizontal="center"/>
    </xf>
    <xf numFmtId="2" fontId="30" fillId="2" borderId="15" xfId="0" applyNumberFormat="1" applyFont="1" applyFill="1" applyBorder="1" applyAlignment="1">
      <alignment horizontal="center"/>
    </xf>
    <xf numFmtId="2" fontId="30" fillId="0" borderId="15" xfId="0" applyNumberFormat="1" applyFont="1" applyBorder="1" applyAlignment="1">
      <alignment horizontal="center"/>
    </xf>
    <xf numFmtId="0" fontId="30" fillId="0" borderId="15" xfId="0" applyFont="1" applyBorder="1"/>
    <xf numFmtId="0" fontId="30" fillId="0" borderId="1" xfId="0" applyFont="1" applyBorder="1"/>
    <xf numFmtId="0" fontId="31" fillId="2" borderId="15" xfId="0" applyFont="1" applyFill="1" applyBorder="1"/>
    <xf numFmtId="1" fontId="33" fillId="2" borderId="18" xfId="0" applyNumberFormat="1" applyFont="1" applyFill="1" applyBorder="1" applyAlignment="1">
      <alignment horizontal="center" vertical="center" wrapText="1"/>
    </xf>
    <xf numFmtId="0" fontId="33" fillId="2" borderId="19" xfId="0" applyFont="1" applyFill="1" applyBorder="1"/>
    <xf numFmtId="43" fontId="34" fillId="2" borderId="19" xfId="50" applyFont="1" applyFill="1" applyBorder="1"/>
    <xf numFmtId="43" fontId="30" fillId="2" borderId="19" xfId="50" applyFont="1" applyFill="1" applyBorder="1" applyAlignment="1">
      <alignment horizontal="center"/>
    </xf>
    <xf numFmtId="43" fontId="35" fillId="2" borderId="19" xfId="50" applyFont="1" applyFill="1" applyBorder="1"/>
    <xf numFmtId="43" fontId="35" fillId="2" borderId="20" xfId="50" applyFont="1" applyFill="1" applyBorder="1"/>
    <xf numFmtId="0" fontId="30" fillId="2" borderId="4" xfId="0" applyFont="1" applyFill="1" applyBorder="1"/>
    <xf numFmtId="0" fontId="30" fillId="2" borderId="1" xfId="0" applyFont="1" applyFill="1" applyBorder="1"/>
    <xf numFmtId="43" fontId="31" fillId="2" borderId="19" xfId="50" applyFont="1" applyFill="1" applyBorder="1" applyAlignment="1">
      <alignment horizontal="center"/>
    </xf>
    <xf numFmtId="0" fontId="32" fillId="2" borderId="0" xfId="0" applyFont="1" applyFill="1"/>
    <xf numFmtId="43" fontId="37" fillId="2" borderId="0" xfId="50" applyFont="1" applyFill="1"/>
    <xf numFmtId="0" fontId="31" fillId="4" borderId="0" xfId="0" applyFont="1" applyFill="1"/>
    <xf numFmtId="43" fontId="35" fillId="2" borderId="19" xfId="1" applyFont="1" applyFill="1" applyBorder="1" applyAlignment="1">
      <alignment horizontal="center" vertical="center"/>
    </xf>
    <xf numFmtId="43" fontId="35" fillId="2" borderId="19" xfId="1" applyFont="1" applyFill="1" applyBorder="1" applyAlignment="1">
      <alignment horizontal="center"/>
    </xf>
    <xf numFmtId="43" fontId="36" fillId="2" borderId="19" xfId="1" applyFont="1" applyFill="1" applyBorder="1" applyAlignment="1">
      <alignment horizontal="center"/>
    </xf>
    <xf numFmtId="43" fontId="30" fillId="2" borderId="19" xfId="1" applyFont="1" applyFill="1" applyBorder="1" applyAlignment="1">
      <alignment horizontal="center" vertical="center"/>
    </xf>
    <xf numFmtId="165" fontId="8" fillId="27" borderId="1" xfId="49" applyNumberFormat="1" applyFont="1" applyFill="1" applyBorder="1"/>
    <xf numFmtId="0" fontId="38" fillId="0" borderId="0" xfId="0" applyFont="1" applyAlignment="1">
      <alignment wrapText="1"/>
    </xf>
    <xf numFmtId="0" fontId="38" fillId="0" borderId="0" xfId="0" applyFont="1"/>
    <xf numFmtId="43" fontId="38" fillId="0" borderId="0" xfId="0" applyNumberFormat="1" applyFont="1"/>
    <xf numFmtId="164" fontId="38" fillId="0" borderId="0" xfId="0" applyNumberFormat="1" applyFont="1"/>
    <xf numFmtId="2" fontId="38" fillId="0" borderId="0" xfId="0" applyNumberFormat="1" applyFont="1"/>
    <xf numFmtId="0" fontId="38" fillId="0" borderId="0" xfId="0" applyFont="1" applyAlignment="1">
      <alignment horizontal="center" vertical="center" wrapText="1"/>
    </xf>
    <xf numFmtId="43" fontId="38" fillId="0" borderId="0" xfId="1" applyFont="1"/>
    <xf numFmtId="0" fontId="39" fillId="0" borderId="0" xfId="0" applyFont="1"/>
    <xf numFmtId="43" fontId="39" fillId="0" borderId="0" xfId="51" applyFont="1"/>
    <xf numFmtId="43" fontId="39" fillId="0" borderId="0" xfId="51" applyFont="1" applyBorder="1" applyAlignment="1">
      <alignment horizontal="right"/>
    </xf>
    <xf numFmtId="1" fontId="41" fillId="0" borderId="26" xfId="0" applyNumberFormat="1" applyFont="1" applyBorder="1" applyAlignment="1">
      <alignment horizontal="center" vertical="center"/>
    </xf>
    <xf numFmtId="0" fontId="41" fillId="0" borderId="1" xfId="0" applyFont="1" applyBorder="1" applyAlignment="1">
      <alignment horizontal="left" vertical="center" wrapText="1"/>
    </xf>
    <xf numFmtId="4" fontId="41" fillId="0" borderId="1" xfId="0" applyNumberFormat="1" applyFont="1" applyBorder="1" applyAlignment="1">
      <alignment horizontal="center" vertical="center" wrapText="1"/>
    </xf>
    <xf numFmtId="43" fontId="41" fillId="0" borderId="27" xfId="51" applyFont="1" applyBorder="1" applyAlignment="1">
      <alignment horizontal="center" vertical="center" wrapText="1"/>
    </xf>
    <xf numFmtId="1" fontId="41" fillId="0" borderId="28" xfId="0" applyNumberFormat="1" applyFont="1" applyBorder="1" applyAlignment="1">
      <alignment horizontal="center" vertical="center"/>
    </xf>
    <xf numFmtId="0" fontId="41" fillId="0" borderId="29" xfId="0" applyFont="1" applyBorder="1" applyAlignment="1">
      <alignment horizontal="left" vertical="center" wrapText="1"/>
    </xf>
    <xf numFmtId="4" fontId="41" fillId="0" borderId="29" xfId="0" applyNumberFormat="1" applyFont="1" applyBorder="1" applyAlignment="1">
      <alignment horizontal="center" vertical="center" wrapText="1"/>
    </xf>
    <xf numFmtId="43" fontId="41" fillId="0" borderId="30" xfId="51" applyFont="1" applyBorder="1" applyAlignment="1">
      <alignment horizontal="center" vertical="center" wrapText="1"/>
    </xf>
    <xf numFmtId="43" fontId="39" fillId="0" borderId="0" xfId="0" applyNumberFormat="1" applyFont="1"/>
    <xf numFmtId="1" fontId="41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 wrapText="1"/>
    </xf>
    <xf numFmtId="4" fontId="41" fillId="0" borderId="0" xfId="0" applyNumberFormat="1" applyFont="1" applyBorder="1" applyAlignment="1">
      <alignment horizontal="center" vertical="center" wrapText="1"/>
    </xf>
    <xf numFmtId="43" fontId="41" fillId="0" borderId="0" xfId="51" applyFont="1" applyBorder="1" applyAlignment="1">
      <alignment horizontal="center" vertical="center" wrapText="1"/>
    </xf>
    <xf numFmtId="1" fontId="40" fillId="0" borderId="0" xfId="0" applyNumberFormat="1" applyFont="1" applyBorder="1" applyAlignment="1">
      <alignment horizontal="center" vertical="center"/>
    </xf>
    <xf numFmtId="4" fontId="39" fillId="0" borderId="0" xfId="0" applyNumberFormat="1" applyFont="1"/>
    <xf numFmtId="0" fontId="41" fillId="0" borderId="0" xfId="0" applyFont="1" applyBorder="1" applyAlignment="1">
      <alignment horizontal="left" vertical="center" wrapText="1"/>
    </xf>
    <xf numFmtId="0" fontId="44" fillId="0" borderId="0" xfId="0" applyFont="1"/>
    <xf numFmtId="43" fontId="44" fillId="0" borderId="0" xfId="0" applyNumberFormat="1" applyFont="1"/>
    <xf numFmtId="43" fontId="44" fillId="0" borderId="0" xfId="51" applyFont="1"/>
    <xf numFmtId="9" fontId="44" fillId="0" borderId="0" xfId="48" applyFont="1"/>
    <xf numFmtId="43" fontId="35" fillId="2" borderId="31" xfId="50" applyFont="1" applyFill="1" applyBorder="1"/>
    <xf numFmtId="43" fontId="30" fillId="2" borderId="31" xfId="50" applyFont="1" applyFill="1" applyBorder="1"/>
    <xf numFmtId="0" fontId="45" fillId="0" borderId="0" xfId="0" applyFont="1"/>
    <xf numFmtId="43" fontId="8" fillId="0" borderId="27" xfId="1" applyFont="1" applyBorder="1"/>
    <xf numFmtId="43" fontId="8" fillId="0" borderId="29" xfId="49" applyFont="1" applyBorder="1"/>
    <xf numFmtId="43" fontId="8" fillId="27" borderId="29" xfId="49" applyFont="1" applyFill="1" applyBorder="1"/>
    <xf numFmtId="43" fontId="8" fillId="0" borderId="30" xfId="1" applyFont="1" applyBorder="1"/>
    <xf numFmtId="165" fontId="8" fillId="27" borderId="29" xfId="49" applyNumberFormat="1" applyFont="1" applyFill="1" applyBorder="1"/>
    <xf numFmtId="0" fontId="46" fillId="2" borderId="18" xfId="0" applyFont="1" applyFill="1" applyBorder="1"/>
    <xf numFmtId="0" fontId="46" fillId="2" borderId="32" xfId="0" applyFont="1" applyFill="1" applyBorder="1"/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46" fillId="2" borderId="0" xfId="0" applyFont="1" applyFill="1" applyBorder="1"/>
    <xf numFmtId="43" fontId="8" fillId="2" borderId="0" xfId="49" applyFont="1" applyFill="1" applyBorder="1"/>
    <xf numFmtId="165" fontId="8" fillId="2" borderId="0" xfId="49" applyNumberFormat="1" applyFont="1" applyFill="1" applyBorder="1"/>
    <xf numFmtId="43" fontId="8" fillId="2" borderId="0" xfId="1" applyFont="1" applyFill="1" applyBorder="1"/>
    <xf numFmtId="2" fontId="38" fillId="2" borderId="0" xfId="0" applyNumberFormat="1" applyFont="1" applyFill="1"/>
    <xf numFmtId="0" fontId="8" fillId="2" borderId="0" xfId="0" applyFont="1" applyFill="1"/>
    <xf numFmtId="0" fontId="30" fillId="0" borderId="0" xfId="0" applyFont="1" applyAlignment="1">
      <alignment horizontal="right"/>
    </xf>
    <xf numFmtId="0" fontId="48" fillId="2" borderId="0" xfId="0" applyFont="1" applyFill="1" applyAlignment="1">
      <alignment vertical="center"/>
    </xf>
    <xf numFmtId="0" fontId="50" fillId="2" borderId="0" xfId="3" applyFont="1" applyFill="1" applyAlignment="1">
      <alignment horizontal="center"/>
    </xf>
    <xf numFmtId="0" fontId="50" fillId="2" borderId="0" xfId="3" applyFont="1" applyFill="1"/>
    <xf numFmtId="0" fontId="51" fillId="2" borderId="0" xfId="3" applyFont="1" applyFill="1" applyAlignment="1">
      <alignment horizontal="center"/>
    </xf>
    <xf numFmtId="0" fontId="52" fillId="2" borderId="0" xfId="3" applyFont="1" applyFill="1" applyAlignment="1">
      <alignment horizontal="center"/>
    </xf>
    <xf numFmtId="43" fontId="53" fillId="0" borderId="0" xfId="51" applyFont="1" applyBorder="1" applyAlignment="1">
      <alignment horizontal="right"/>
    </xf>
    <xf numFmtId="1" fontId="43" fillId="0" borderId="0" xfId="0" applyNumberFormat="1" applyFont="1" applyBorder="1" applyAlignment="1">
      <alignment horizontal="left" vertical="top" wrapText="1"/>
    </xf>
    <xf numFmtId="0" fontId="30" fillId="0" borderId="0" xfId="41" applyFont="1" applyBorder="1" applyAlignment="1">
      <alignment horizontal="center" wrapText="1"/>
    </xf>
    <xf numFmtId="0" fontId="30" fillId="0" borderId="0" xfId="0" applyFont="1" applyAlignment="1">
      <alignment horizontal="right"/>
    </xf>
    <xf numFmtId="0" fontId="31" fillId="3" borderId="15" xfId="0" applyFont="1" applyFill="1" applyBorder="1" applyAlignment="1">
      <alignment horizontal="center" vertical="center" wrapText="1"/>
    </xf>
    <xf numFmtId="0" fontId="31" fillId="3" borderId="16" xfId="0" applyFont="1" applyFill="1" applyBorder="1" applyAlignment="1">
      <alignment horizontal="center" vertical="center" wrapText="1"/>
    </xf>
    <xf numFmtId="0" fontId="31" fillId="3" borderId="17" xfId="0" applyFont="1" applyFill="1" applyBorder="1" applyAlignment="1">
      <alignment horizontal="center" vertical="center" wrapText="1"/>
    </xf>
    <xf numFmtId="0" fontId="31" fillId="3" borderId="15" xfId="0" applyFont="1" applyFill="1" applyBorder="1" applyAlignment="1">
      <alignment horizontal="center" vertical="center" textRotation="90" wrapText="1"/>
    </xf>
    <xf numFmtId="0" fontId="31" fillId="3" borderId="16" xfId="0" applyFont="1" applyFill="1" applyBorder="1" applyAlignment="1">
      <alignment horizontal="center" vertical="center" textRotation="90" wrapText="1"/>
    </xf>
    <xf numFmtId="0" fontId="31" fillId="3" borderId="17" xfId="0" applyFont="1" applyFill="1" applyBorder="1" applyAlignment="1">
      <alignment horizontal="center" vertical="center" textRotation="90" wrapText="1"/>
    </xf>
    <xf numFmtId="0" fontId="31" fillId="3" borderId="21" xfId="0" applyFont="1" applyFill="1" applyBorder="1" applyAlignment="1">
      <alignment horizontal="center" vertical="center" wrapText="1"/>
    </xf>
    <xf numFmtId="0" fontId="31" fillId="3" borderId="22" xfId="0" applyFont="1" applyFill="1" applyBorder="1" applyAlignment="1">
      <alignment horizontal="center" vertical="center" wrapText="1"/>
    </xf>
    <xf numFmtId="0" fontId="31" fillId="3" borderId="5" xfId="0" applyFont="1" applyFill="1" applyBorder="1" applyAlignment="1">
      <alignment horizontal="center" vertical="center" wrapText="1"/>
    </xf>
    <xf numFmtId="0" fontId="31" fillId="3" borderId="2" xfId="0" applyFont="1" applyFill="1" applyBorder="1" applyAlignment="1">
      <alignment horizontal="center" vertical="center" wrapText="1"/>
    </xf>
    <xf numFmtId="0" fontId="31" fillId="3" borderId="3" xfId="0" applyFont="1" applyFill="1" applyBorder="1" applyAlignment="1">
      <alignment horizontal="center" vertical="center" wrapText="1"/>
    </xf>
    <xf numFmtId="0" fontId="31" fillId="3" borderId="4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textRotation="90" wrapText="1"/>
    </xf>
    <xf numFmtId="0" fontId="31" fillId="3" borderId="2" xfId="0" applyFont="1" applyFill="1" applyBorder="1" applyAlignment="1">
      <alignment horizontal="center"/>
    </xf>
    <xf numFmtId="0" fontId="31" fillId="3" borderId="3" xfId="0" applyFont="1" applyFill="1" applyBorder="1" applyAlignment="1">
      <alignment horizontal="center"/>
    </xf>
    <xf numFmtId="0" fontId="31" fillId="3" borderId="4" xfId="0" applyFont="1" applyFill="1" applyBorder="1" applyAlignment="1">
      <alignment horizontal="center"/>
    </xf>
    <xf numFmtId="0" fontId="30" fillId="3" borderId="15" xfId="0" applyFont="1" applyFill="1" applyBorder="1" applyAlignment="1">
      <alignment horizontal="center" textRotation="90" wrapText="1"/>
    </xf>
    <xf numFmtId="0" fontId="30" fillId="3" borderId="17" xfId="0" applyFont="1" applyFill="1" applyBorder="1" applyAlignment="1">
      <alignment horizontal="center" textRotation="90" wrapText="1"/>
    </xf>
    <xf numFmtId="0" fontId="8" fillId="0" borderId="0" xfId="0" applyFont="1" applyAlignment="1">
      <alignment horizontal="right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1" fontId="42" fillId="0" borderId="0" xfId="0" applyNumberFormat="1" applyFont="1" applyBorder="1" applyAlignment="1">
      <alignment horizontal="left" vertical="top" wrapText="1"/>
    </xf>
    <xf numFmtId="0" fontId="43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2" fontId="40" fillId="0" borderId="26" xfId="0" applyNumberFormat="1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4" fontId="40" fillId="0" borderId="1" xfId="0" applyNumberFormat="1" applyFont="1" applyBorder="1" applyAlignment="1">
      <alignment horizontal="center" vertical="center" wrapText="1"/>
    </xf>
    <xf numFmtId="43" fontId="40" fillId="0" borderId="27" xfId="51" applyFont="1" applyBorder="1" applyAlignment="1">
      <alignment horizontal="center" vertical="center" wrapText="1"/>
    </xf>
  </cellXfs>
  <cellStyles count="52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2" xfId="39"/>
    <cellStyle name="Обычный 2 2" xfId="2"/>
    <cellStyle name="Обычный 3" xfId="40"/>
    <cellStyle name="Обычный 4" xfId="3"/>
    <cellStyle name="Обычный 5" xfId="41"/>
    <cellStyle name="Плохой 2" xfId="42"/>
    <cellStyle name="Пояснение 2" xfId="43"/>
    <cellStyle name="Примечание 2" xfId="44"/>
    <cellStyle name="Процентный" xfId="48" builtinId="5"/>
    <cellStyle name="Связанная ячейка 2" xfId="45"/>
    <cellStyle name="Текст предупреждения 2" xfId="46"/>
    <cellStyle name="Финансовый" xfId="1" builtinId="3"/>
    <cellStyle name="Финансовый 2" xfId="49"/>
    <cellStyle name="Финансовый 3" xfId="50"/>
    <cellStyle name="Финансовый 3 2" xfId="51"/>
    <cellStyle name="Хороший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/Desktop/&#1051;&#1080;&#1079;&#1072;/&#1058;&#1072;&#1088;&#1080;&#1092;&#1099;/&#1056;&#1072;&#1079;&#1084;&#1077;&#1088;%20&#1087;&#1083;&#1072;&#1090;&#1099;%20&#1089;%2001.01.2018%20&#1046;&#1069;&#1059;%20&#8470;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ЭУ №3"/>
      <sheetName val="Тариф с 01.01.18"/>
      <sheetName val="Расчет ПРЭТ 3"/>
      <sheetName val="Тех.хар-ка"/>
      <sheetName val="Мира 4"/>
      <sheetName val="тарифы"/>
    </sheetNames>
    <sheetDataSet>
      <sheetData sheetId="0"/>
      <sheetData sheetId="1"/>
      <sheetData sheetId="2"/>
      <sheetData sheetId="3">
        <row r="12">
          <cell r="P12">
            <v>5561.2</v>
          </cell>
        </row>
        <row r="41">
          <cell r="P41">
            <v>933</v>
          </cell>
        </row>
      </sheetData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F182"/>
  <sheetViews>
    <sheetView view="pageBreakPreview" zoomScale="60" zoomScaleNormal="50" workbookViewId="0">
      <selection activeCell="G50" sqref="G50"/>
    </sheetView>
  </sheetViews>
  <sheetFormatPr defaultColWidth="9.140625" defaultRowHeight="15.75" outlineLevelCol="1" x14ac:dyDescent="0.25"/>
  <cols>
    <col min="1" max="1" width="4.42578125" style="7" customWidth="1"/>
    <col min="2" max="2" width="23.5703125" style="7" customWidth="1"/>
    <col min="3" max="3" width="13.85546875" style="7" customWidth="1"/>
    <col min="4" max="4" width="13.28515625" style="7" customWidth="1"/>
    <col min="5" max="5" width="11" style="8" bestFit="1" customWidth="1"/>
    <col min="6" max="7" width="11" style="7" bestFit="1" customWidth="1"/>
    <col min="8" max="8" width="12.7109375" style="7" customWidth="1"/>
    <col min="9" max="9" width="10.42578125" style="7" customWidth="1"/>
    <col min="10" max="10" width="11.42578125" style="8" customWidth="1"/>
    <col min="11" max="11" width="10.7109375" style="8" hidden="1" customWidth="1" outlineLevel="1"/>
    <col min="12" max="12" width="13.42578125" style="8" hidden="1" customWidth="1" outlineLevel="1"/>
    <col min="13" max="13" width="10.7109375" style="8" hidden="1" customWidth="1" outlineLevel="1"/>
    <col min="14" max="14" width="12.140625" style="8" hidden="1" customWidth="1" outlineLevel="1"/>
    <col min="15" max="15" width="10.7109375" style="8" hidden="1" customWidth="1" outlineLevel="1"/>
    <col min="16" max="16" width="10" style="7" bestFit="1" customWidth="1" collapsed="1"/>
    <col min="17" max="17" width="10.140625" style="7" bestFit="1" customWidth="1"/>
    <col min="18" max="18" width="11" style="7" bestFit="1" customWidth="1"/>
    <col min="19" max="20" width="10.140625" style="7" bestFit="1" customWidth="1"/>
    <col min="21" max="21" width="10" style="7" bestFit="1" customWidth="1"/>
    <col min="22" max="22" width="10.140625" style="7" bestFit="1" customWidth="1"/>
    <col min="23" max="26" width="11.28515625" style="7" bestFit="1" customWidth="1"/>
    <col min="27" max="27" width="10.140625" style="7" bestFit="1" customWidth="1"/>
    <col min="28" max="28" width="10.140625" style="8" bestFit="1" customWidth="1"/>
    <col min="29" max="30" width="12.5703125" style="8" bestFit="1" customWidth="1"/>
    <col min="31" max="32" width="10" style="8" customWidth="1"/>
    <col min="33" max="35" width="9.140625" style="8" hidden="1" customWidth="1" outlineLevel="1"/>
    <col min="36" max="36" width="13.85546875" style="8" hidden="1" customWidth="1" collapsed="1"/>
    <col min="37" max="37" width="12.140625" style="28" hidden="1" customWidth="1" collapsed="1"/>
    <col min="38" max="38" width="0" style="7" hidden="1" customWidth="1"/>
    <col min="39" max="84" width="9.140625" style="7"/>
    <col min="85" max="16384" width="9.140625" style="8"/>
  </cols>
  <sheetData>
    <row r="1" spans="1:84" x14ac:dyDescent="0.25">
      <c r="AF1" s="84" t="s">
        <v>85</v>
      </c>
      <c r="AK1" s="8"/>
      <c r="AL1" s="84"/>
    </row>
    <row r="2" spans="1:84" x14ac:dyDescent="0.25">
      <c r="AD2" s="93" t="s">
        <v>135</v>
      </c>
      <c r="AE2" s="93"/>
      <c r="AF2" s="93"/>
      <c r="AJ2" s="93"/>
      <c r="AK2" s="93"/>
      <c r="AL2" s="93"/>
    </row>
    <row r="3" spans="1:84" x14ac:dyDescent="0.25">
      <c r="AJ3" s="77"/>
      <c r="AK3" s="77"/>
      <c r="AL3" s="77"/>
    </row>
    <row r="4" spans="1:84" ht="66.599999999999994" customHeight="1" x14ac:dyDescent="0.25">
      <c r="A4" s="94" t="s">
        <v>1</v>
      </c>
      <c r="B4" s="94" t="s">
        <v>2</v>
      </c>
      <c r="C4" s="97" t="s">
        <v>17</v>
      </c>
      <c r="D4" s="100" t="s">
        <v>78</v>
      </c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2"/>
      <c r="AB4" s="103" t="s">
        <v>79</v>
      </c>
      <c r="AC4" s="104"/>
      <c r="AD4" s="104"/>
      <c r="AE4" s="104"/>
      <c r="AF4" s="105"/>
      <c r="AG4" s="107" t="s">
        <v>0</v>
      </c>
      <c r="AH4" s="108"/>
      <c r="AI4" s="109"/>
      <c r="AJ4" s="97" t="s">
        <v>20</v>
      </c>
      <c r="AK4" s="97" t="s">
        <v>124</v>
      </c>
    </row>
    <row r="5" spans="1:84" ht="133.9" customHeight="1" x14ac:dyDescent="0.25">
      <c r="A5" s="95"/>
      <c r="B5" s="95" t="s">
        <v>21</v>
      </c>
      <c r="C5" s="98"/>
      <c r="D5" s="106" t="s">
        <v>18</v>
      </c>
      <c r="E5" s="97" t="s">
        <v>80</v>
      </c>
      <c r="F5" s="97" t="s">
        <v>77</v>
      </c>
      <c r="G5" s="97" t="s">
        <v>23</v>
      </c>
      <c r="H5" s="97" t="s">
        <v>24</v>
      </c>
      <c r="I5" s="97" t="s">
        <v>7</v>
      </c>
      <c r="J5" s="97" t="s">
        <v>19</v>
      </c>
      <c r="K5" s="97" t="s">
        <v>36</v>
      </c>
      <c r="L5" s="97" t="s">
        <v>37</v>
      </c>
      <c r="M5" s="97" t="s">
        <v>38</v>
      </c>
      <c r="N5" s="97" t="s">
        <v>39</v>
      </c>
      <c r="O5" s="97" t="s">
        <v>40</v>
      </c>
      <c r="P5" s="97" t="s">
        <v>25</v>
      </c>
      <c r="Q5" s="97" t="s">
        <v>26</v>
      </c>
      <c r="R5" s="97" t="s">
        <v>22</v>
      </c>
      <c r="S5" s="97" t="s">
        <v>27</v>
      </c>
      <c r="T5" s="97" t="s">
        <v>28</v>
      </c>
      <c r="U5" s="97" t="s">
        <v>29</v>
      </c>
      <c r="V5" s="97" t="s">
        <v>30</v>
      </c>
      <c r="W5" s="97" t="s">
        <v>31</v>
      </c>
      <c r="X5" s="97" t="s">
        <v>32</v>
      </c>
      <c r="Y5" s="97" t="s">
        <v>33</v>
      </c>
      <c r="Z5" s="97" t="s">
        <v>34</v>
      </c>
      <c r="AA5" s="97" t="s">
        <v>35</v>
      </c>
      <c r="AB5" s="97" t="s">
        <v>41</v>
      </c>
      <c r="AC5" s="97" t="s">
        <v>42</v>
      </c>
      <c r="AD5" s="97" t="s">
        <v>123</v>
      </c>
      <c r="AE5" s="97" t="s">
        <v>43</v>
      </c>
      <c r="AF5" s="97" t="s">
        <v>44</v>
      </c>
      <c r="AG5" s="110" t="s">
        <v>3</v>
      </c>
      <c r="AH5" s="110" t="s">
        <v>4</v>
      </c>
      <c r="AI5" s="110" t="s">
        <v>5</v>
      </c>
      <c r="AJ5" s="98"/>
      <c r="AK5" s="98"/>
    </row>
    <row r="6" spans="1:84" ht="168" customHeight="1" x14ac:dyDescent="0.25">
      <c r="A6" s="96"/>
      <c r="B6" s="96"/>
      <c r="C6" s="99"/>
      <c r="D6" s="106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111"/>
      <c r="AH6" s="111"/>
      <c r="AI6" s="111"/>
      <c r="AJ6" s="99"/>
      <c r="AK6" s="99"/>
      <c r="CF6" s="8"/>
    </row>
    <row r="7" spans="1:84" ht="16.5" thickBot="1" x14ac:dyDescent="0.3">
      <c r="A7" s="10"/>
      <c r="B7" s="11" t="s">
        <v>45</v>
      </c>
      <c r="C7" s="11"/>
      <c r="D7" s="12"/>
      <c r="E7" s="13"/>
      <c r="F7" s="12"/>
      <c r="G7" s="12"/>
      <c r="H7" s="12"/>
      <c r="I7" s="12"/>
      <c r="J7" s="13"/>
      <c r="K7" s="14"/>
      <c r="L7" s="14"/>
      <c r="M7" s="14"/>
      <c r="N7" s="14"/>
      <c r="O7" s="14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4"/>
      <c r="AC7" s="14"/>
      <c r="AD7" s="14"/>
      <c r="AE7" s="14"/>
      <c r="AF7" s="14"/>
      <c r="AG7" s="15"/>
      <c r="AH7" s="15"/>
      <c r="AI7" s="15"/>
      <c r="AJ7" s="13"/>
      <c r="AK7" s="16"/>
      <c r="CF7" s="8"/>
    </row>
    <row r="8" spans="1:84" s="7" customFormat="1" ht="18" customHeight="1" thickBot="1" x14ac:dyDescent="0.3">
      <c r="A8" s="17">
        <f t="shared" ref="A8" si="0">A7+1</f>
        <v>1</v>
      </c>
      <c r="B8" s="18" t="s">
        <v>46</v>
      </c>
      <c r="C8" s="19">
        <v>5591.1</v>
      </c>
      <c r="D8" s="29">
        <v>5.04</v>
      </c>
      <c r="E8" s="29">
        <v>5.17</v>
      </c>
      <c r="F8" s="29">
        <v>8.16</v>
      </c>
      <c r="G8" s="29">
        <v>2.12</v>
      </c>
      <c r="H8" s="29">
        <v>2.9</v>
      </c>
      <c r="I8" s="29">
        <v>2.63</v>
      </c>
      <c r="J8" s="30">
        <f>SUM(K8:O8)</f>
        <v>9.1440000000000001</v>
      </c>
      <c r="K8" s="31">
        <v>2.7440000000000002</v>
      </c>
      <c r="L8" s="31">
        <v>0.32</v>
      </c>
      <c r="M8" s="31">
        <v>3.95</v>
      </c>
      <c r="N8" s="31">
        <v>2.13</v>
      </c>
      <c r="O8" s="31"/>
      <c r="P8" s="29">
        <v>0.11</v>
      </c>
      <c r="Q8" s="29">
        <v>0.37</v>
      </c>
      <c r="R8" s="29">
        <v>1.32</v>
      </c>
      <c r="S8" s="29">
        <v>0.85</v>
      </c>
      <c r="T8" s="29">
        <v>0.31</v>
      </c>
      <c r="U8" s="29">
        <v>0</v>
      </c>
      <c r="V8" s="29">
        <v>0.12</v>
      </c>
      <c r="W8" s="29">
        <v>0.18</v>
      </c>
      <c r="X8" s="29">
        <v>0.15</v>
      </c>
      <c r="Y8" s="29">
        <v>0.09</v>
      </c>
      <c r="Z8" s="29">
        <v>0.14000000000000001</v>
      </c>
      <c r="AA8" s="29"/>
      <c r="AB8" s="21">
        <f>расчеты!H5</f>
        <v>1.0796201105328112</v>
      </c>
      <c r="AC8" s="21">
        <f>расчеты!H39</f>
        <v>0.16996950152921605</v>
      </c>
      <c r="AD8" s="21">
        <f>расчеты!H75</f>
        <v>0.56549702205290542</v>
      </c>
      <c r="AE8" s="64"/>
      <c r="AF8" s="22">
        <f>расчеты!H109</f>
        <v>0.32768389762300792</v>
      </c>
      <c r="AG8" s="23"/>
      <c r="AH8" s="24"/>
      <c r="AI8" s="24"/>
      <c r="AJ8" s="20">
        <f>SUM(AB8:AF8)</f>
        <v>2.1427705317379404</v>
      </c>
      <c r="AK8" s="25">
        <f>D8+E8+F8+G8+H8+I8+J8+P8+Q8+R8+S8+T8+U8+V8+W8+X8+Y8+Z8+AA8</f>
        <v>38.804000000000002</v>
      </c>
    </row>
    <row r="9" spans="1:84" s="7" customFormat="1" ht="18" customHeight="1" thickBot="1" x14ac:dyDescent="0.3">
      <c r="A9" s="17">
        <f t="shared" ref="A9:A32" si="1">A8+1</f>
        <v>2</v>
      </c>
      <c r="B9" s="18" t="s">
        <v>47</v>
      </c>
      <c r="C9" s="19">
        <v>3358.9</v>
      </c>
      <c r="D9" s="29">
        <v>5.04</v>
      </c>
      <c r="E9" s="29">
        <v>4.4000000000000004</v>
      </c>
      <c r="F9" s="29">
        <v>7.68</v>
      </c>
      <c r="G9" s="29">
        <v>2.2599999999999998</v>
      </c>
      <c r="H9" s="29">
        <v>3.1</v>
      </c>
      <c r="I9" s="29">
        <v>2.46</v>
      </c>
      <c r="J9" s="30">
        <f t="shared" ref="J9:J38" si="2">SUM(K9:O9)</f>
        <v>9.5900000000000016</v>
      </c>
      <c r="K9" s="31">
        <v>3.33</v>
      </c>
      <c r="L9" s="31">
        <v>0.95</v>
      </c>
      <c r="M9" s="31">
        <v>3.69</v>
      </c>
      <c r="N9" s="31">
        <v>2.39</v>
      </c>
      <c r="O9" s="31">
        <v>-0.77</v>
      </c>
      <c r="P9" s="29">
        <v>0.1</v>
      </c>
      <c r="Q9" s="29">
        <v>0.37</v>
      </c>
      <c r="R9" s="29">
        <v>1.49</v>
      </c>
      <c r="S9" s="29">
        <v>0.7</v>
      </c>
      <c r="T9" s="29">
        <v>0.51</v>
      </c>
      <c r="U9" s="29">
        <v>0</v>
      </c>
      <c r="V9" s="29">
        <v>0.36</v>
      </c>
      <c r="W9" s="29">
        <v>0.35</v>
      </c>
      <c r="X9" s="29">
        <v>0</v>
      </c>
      <c r="Y9" s="29">
        <v>0.15</v>
      </c>
      <c r="Z9" s="29">
        <v>0.38</v>
      </c>
      <c r="AA9" s="29"/>
      <c r="AB9" s="21">
        <f>расчеты!H6</f>
        <v>0.96733097144898639</v>
      </c>
      <c r="AC9" s="21">
        <f>расчеты!H40</f>
        <v>0.1495135335973086</v>
      </c>
      <c r="AD9" s="21">
        <f>расчеты!H76</f>
        <v>0.49743899490904747</v>
      </c>
      <c r="AE9" s="64"/>
      <c r="AF9" s="22">
        <f>расчеты!H110</f>
        <v>0.28824687367888285</v>
      </c>
      <c r="AG9" s="24"/>
      <c r="AH9" s="24"/>
      <c r="AI9" s="24"/>
      <c r="AJ9" s="20">
        <f t="shared" ref="AJ9:AJ39" si="3">SUM(AB9:AF9)</f>
        <v>1.9025303736342252</v>
      </c>
      <c r="AK9" s="25">
        <f t="shared" ref="AK9:AK39" si="4">D9+E9+F9+G9+H9+I9+J9+P9+Q9+R9+S9+T9+U9+V9+W9+X9+Y9+Z9+AA9</f>
        <v>38.940000000000012</v>
      </c>
    </row>
    <row r="10" spans="1:84" s="7" customFormat="1" ht="18" customHeight="1" thickBot="1" x14ac:dyDescent="0.3">
      <c r="A10" s="17">
        <f t="shared" si="1"/>
        <v>3</v>
      </c>
      <c r="B10" s="18" t="s">
        <v>48</v>
      </c>
      <c r="C10" s="19">
        <v>5560.3</v>
      </c>
      <c r="D10" s="29">
        <v>5.04</v>
      </c>
      <c r="E10" s="29">
        <v>5.8</v>
      </c>
      <c r="F10" s="29">
        <v>6.16</v>
      </c>
      <c r="G10" s="29">
        <v>2.38</v>
      </c>
      <c r="H10" s="29">
        <v>3.27</v>
      </c>
      <c r="I10" s="29">
        <v>3</v>
      </c>
      <c r="J10" s="30">
        <f t="shared" si="2"/>
        <v>9.5640000000000001</v>
      </c>
      <c r="K10" s="31">
        <v>3.004</v>
      </c>
      <c r="L10" s="31">
        <v>0.3</v>
      </c>
      <c r="M10" s="31">
        <v>4.49</v>
      </c>
      <c r="N10" s="31">
        <v>1.77</v>
      </c>
      <c r="O10" s="31"/>
      <c r="P10" s="29">
        <v>0.12</v>
      </c>
      <c r="Q10" s="29">
        <v>0.37</v>
      </c>
      <c r="R10" s="29">
        <v>1.26</v>
      </c>
      <c r="S10" s="29">
        <v>0.81</v>
      </c>
      <c r="T10" s="29">
        <v>0.31</v>
      </c>
      <c r="U10" s="29">
        <v>0</v>
      </c>
      <c r="V10" s="29">
        <v>0.22</v>
      </c>
      <c r="W10" s="29">
        <v>0.21</v>
      </c>
      <c r="X10" s="29">
        <v>0</v>
      </c>
      <c r="Y10" s="29">
        <v>0.09</v>
      </c>
      <c r="Z10" s="29">
        <v>0.23</v>
      </c>
      <c r="AA10" s="29"/>
      <c r="AB10" s="21">
        <f>расчеты!H7</f>
        <v>1.1816081866086365</v>
      </c>
      <c r="AC10" s="21">
        <f>расчеты!H41</f>
        <v>0.1885791399744618</v>
      </c>
      <c r="AD10" s="21">
        <f>расчеты!H77</f>
        <v>0.62741221876517439</v>
      </c>
      <c r="AE10" s="64"/>
      <c r="AF10" s="22">
        <f>расчеты!H111</f>
        <v>0.36356138625613721</v>
      </c>
      <c r="AG10" s="23"/>
      <c r="AH10" s="24"/>
      <c r="AI10" s="24"/>
      <c r="AJ10" s="20">
        <f t="shared" si="3"/>
        <v>2.36116093160441</v>
      </c>
      <c r="AK10" s="25">
        <f t="shared" si="4"/>
        <v>38.833999999999996</v>
      </c>
    </row>
    <row r="11" spans="1:84" s="7" customFormat="1" ht="18" customHeight="1" thickBot="1" x14ac:dyDescent="0.3">
      <c r="A11" s="17">
        <f t="shared" si="1"/>
        <v>4</v>
      </c>
      <c r="B11" s="18" t="s">
        <v>49</v>
      </c>
      <c r="C11" s="19">
        <v>6351.1</v>
      </c>
      <c r="D11" s="29">
        <v>5.04</v>
      </c>
      <c r="E11" s="29">
        <v>2.36</v>
      </c>
      <c r="F11" s="29">
        <v>8.3800000000000008</v>
      </c>
      <c r="G11" s="29">
        <v>3.05</v>
      </c>
      <c r="H11" s="29">
        <v>2.0699999999999998</v>
      </c>
      <c r="I11" s="29">
        <v>1.35</v>
      </c>
      <c r="J11" s="30">
        <f t="shared" si="2"/>
        <v>12.7</v>
      </c>
      <c r="K11" s="31">
        <v>7.96</v>
      </c>
      <c r="L11" s="31"/>
      <c r="M11" s="31">
        <v>2.0299999999999998</v>
      </c>
      <c r="N11" s="31">
        <v>3.02</v>
      </c>
      <c r="O11" s="31">
        <v>-0.31</v>
      </c>
      <c r="P11" s="29">
        <v>0.1</v>
      </c>
      <c r="Q11" s="29">
        <v>0.37</v>
      </c>
      <c r="R11" s="29">
        <v>1.49</v>
      </c>
      <c r="S11" s="29">
        <v>0.75</v>
      </c>
      <c r="T11" s="29">
        <v>0.27</v>
      </c>
      <c r="U11" s="29">
        <v>0</v>
      </c>
      <c r="V11" s="29">
        <v>0.19</v>
      </c>
      <c r="W11" s="29">
        <v>0.19</v>
      </c>
      <c r="X11" s="29">
        <v>0</v>
      </c>
      <c r="Y11" s="29">
        <v>0.08</v>
      </c>
      <c r="Z11" s="29">
        <v>0.2</v>
      </c>
      <c r="AA11" s="29"/>
      <c r="AB11" s="21">
        <f>расчеты!H8</f>
        <v>0.80231518949473313</v>
      </c>
      <c r="AC11" s="21">
        <f>расчеты!H42</f>
        <v>2.4660385759947095E-2</v>
      </c>
      <c r="AD11" s="21">
        <f>расчеты!H78</f>
        <v>8.2046335280502578E-2</v>
      </c>
      <c r="AE11" s="64"/>
      <c r="AF11" s="22">
        <f>расчеты!H112</f>
        <v>4.7542713545684998E-2</v>
      </c>
      <c r="AG11" s="23"/>
      <c r="AH11" s="24"/>
      <c r="AI11" s="24"/>
      <c r="AJ11" s="20">
        <f t="shared" si="3"/>
        <v>0.95656462408086773</v>
      </c>
      <c r="AK11" s="25">
        <f t="shared" si="4"/>
        <v>38.590000000000003</v>
      </c>
    </row>
    <row r="12" spans="1:84" s="7" customFormat="1" ht="18" customHeight="1" thickBot="1" x14ac:dyDescent="0.3">
      <c r="A12" s="17">
        <f t="shared" si="1"/>
        <v>5</v>
      </c>
      <c r="B12" s="18" t="s">
        <v>50</v>
      </c>
      <c r="C12" s="19">
        <v>6297.3</v>
      </c>
      <c r="D12" s="29">
        <v>5.04</v>
      </c>
      <c r="E12" s="29">
        <v>2.17</v>
      </c>
      <c r="F12" s="29">
        <v>9.6999999999999993</v>
      </c>
      <c r="G12" s="29">
        <v>3.09</v>
      </c>
      <c r="H12" s="29">
        <v>1.92</v>
      </c>
      <c r="I12" s="29">
        <v>1.25</v>
      </c>
      <c r="J12" s="30">
        <f t="shared" si="2"/>
        <v>11.384</v>
      </c>
      <c r="K12" s="31">
        <v>7.0540000000000003</v>
      </c>
      <c r="L12" s="31"/>
      <c r="M12" s="31">
        <v>1.88</v>
      </c>
      <c r="N12" s="31">
        <v>3.02</v>
      </c>
      <c r="O12" s="31">
        <v>-0.56999999999999995</v>
      </c>
      <c r="P12" s="29">
        <v>0.11</v>
      </c>
      <c r="Q12" s="29">
        <v>0.37</v>
      </c>
      <c r="R12" s="29">
        <v>1.75</v>
      </c>
      <c r="S12" s="29">
        <v>0.9</v>
      </c>
      <c r="T12" s="29">
        <v>0.27</v>
      </c>
      <c r="U12" s="29">
        <v>0</v>
      </c>
      <c r="V12" s="29">
        <v>0.19</v>
      </c>
      <c r="W12" s="29">
        <v>0.19</v>
      </c>
      <c r="X12" s="29">
        <v>0</v>
      </c>
      <c r="Y12" s="29">
        <v>0.08</v>
      </c>
      <c r="Z12" s="29">
        <v>0.2</v>
      </c>
      <c r="AA12" s="29"/>
      <c r="AB12" s="21">
        <f>расчеты!H9</f>
        <v>0.82368634176551858</v>
      </c>
      <c r="AC12" s="21">
        <f>расчеты!H43</f>
        <v>2.5239038953202168E-2</v>
      </c>
      <c r="AD12" s="21">
        <f>расчеты!H79</f>
        <v>8.397154335985263E-2</v>
      </c>
      <c r="AE12" s="64"/>
      <c r="AF12" s="22">
        <f>расчеты!H113</f>
        <v>4.8658298000730467E-2</v>
      </c>
      <c r="AG12" s="23"/>
      <c r="AH12" s="24"/>
      <c r="AI12" s="24"/>
      <c r="AJ12" s="20">
        <f t="shared" si="3"/>
        <v>0.9815552220793039</v>
      </c>
      <c r="AK12" s="25">
        <f t="shared" si="4"/>
        <v>38.613999999999997</v>
      </c>
    </row>
    <row r="13" spans="1:84" s="7" customFormat="1" ht="18" customHeight="1" thickBot="1" x14ac:dyDescent="0.3">
      <c r="A13" s="17">
        <f t="shared" si="1"/>
        <v>6</v>
      </c>
      <c r="B13" s="18" t="s">
        <v>51</v>
      </c>
      <c r="C13" s="19">
        <v>4614.5</v>
      </c>
      <c r="D13" s="29">
        <v>5.04</v>
      </c>
      <c r="E13" s="29">
        <v>4.76</v>
      </c>
      <c r="F13" s="29">
        <v>8.27</v>
      </c>
      <c r="G13" s="29">
        <v>2.11</v>
      </c>
      <c r="H13" s="29">
        <v>2.87</v>
      </c>
      <c r="I13" s="29">
        <v>2.4</v>
      </c>
      <c r="J13" s="30">
        <f t="shared" si="2"/>
        <v>9.3400000000000016</v>
      </c>
      <c r="K13" s="31">
        <v>2.96</v>
      </c>
      <c r="L13" s="31">
        <v>0.74</v>
      </c>
      <c r="M13" s="31">
        <v>3.59</v>
      </c>
      <c r="N13" s="31">
        <v>2.2400000000000002</v>
      </c>
      <c r="O13" s="31">
        <v>-0.19</v>
      </c>
      <c r="P13" s="29">
        <v>0.12</v>
      </c>
      <c r="Q13" s="29">
        <v>0.37</v>
      </c>
      <c r="R13" s="29">
        <v>1.37</v>
      </c>
      <c r="S13" s="29">
        <v>1.05</v>
      </c>
      <c r="T13" s="29">
        <v>0.37</v>
      </c>
      <c r="U13" s="29">
        <v>0</v>
      </c>
      <c r="V13" s="29">
        <v>0.27</v>
      </c>
      <c r="W13" s="29">
        <v>0.26</v>
      </c>
      <c r="X13" s="29">
        <v>0</v>
      </c>
      <c r="Y13" s="29">
        <v>0.11</v>
      </c>
      <c r="Z13" s="29">
        <v>0.27</v>
      </c>
      <c r="AA13" s="29"/>
      <c r="AB13" s="21">
        <f>расчеты!H10</f>
        <v>1.1333960342398959</v>
      </c>
      <c r="AC13" s="21">
        <f>расчеты!H44</f>
        <v>0.17614278470040087</v>
      </c>
      <c r="AD13" s="21">
        <f>расчеты!H80</f>
        <v>0.58603584353667781</v>
      </c>
      <c r="AE13" s="64"/>
      <c r="AF13" s="22">
        <f>расчеты!H114</f>
        <v>0.33958535919384542</v>
      </c>
      <c r="AG13" s="23"/>
      <c r="AH13" s="24"/>
      <c r="AI13" s="24"/>
      <c r="AJ13" s="20">
        <f t="shared" si="3"/>
        <v>2.2351600216708198</v>
      </c>
      <c r="AK13" s="25">
        <f t="shared" si="4"/>
        <v>38.97999999999999</v>
      </c>
    </row>
    <row r="14" spans="1:84" s="7" customFormat="1" ht="18" customHeight="1" thickBot="1" x14ac:dyDescent="0.3">
      <c r="A14" s="17">
        <f t="shared" si="1"/>
        <v>7</v>
      </c>
      <c r="B14" s="18" t="s">
        <v>52</v>
      </c>
      <c r="C14" s="19">
        <v>4606.5</v>
      </c>
      <c r="D14" s="29">
        <v>5.04</v>
      </c>
      <c r="E14" s="29">
        <v>4.7699999999999996</v>
      </c>
      <c r="F14" s="29">
        <v>8.16</v>
      </c>
      <c r="G14" s="29">
        <v>2.1</v>
      </c>
      <c r="H14" s="29">
        <v>2.87</v>
      </c>
      <c r="I14" s="29">
        <v>2.4</v>
      </c>
      <c r="J14" s="30">
        <f t="shared" si="2"/>
        <v>9.64</v>
      </c>
      <c r="K14" s="31">
        <v>3.07</v>
      </c>
      <c r="L14" s="31">
        <v>0.75</v>
      </c>
      <c r="M14" s="31">
        <v>3.6</v>
      </c>
      <c r="N14" s="31">
        <v>2.2400000000000002</v>
      </c>
      <c r="O14" s="31">
        <v>-0.02</v>
      </c>
      <c r="P14" s="29">
        <v>0.11</v>
      </c>
      <c r="Q14" s="29">
        <v>0.37</v>
      </c>
      <c r="R14" s="29">
        <v>1.29</v>
      </c>
      <c r="S14" s="29">
        <v>1</v>
      </c>
      <c r="T14" s="29">
        <v>0.37</v>
      </c>
      <c r="U14" s="29">
        <v>0</v>
      </c>
      <c r="V14" s="29">
        <v>0.14000000000000001</v>
      </c>
      <c r="W14" s="29">
        <v>0.21</v>
      </c>
      <c r="X14" s="29">
        <v>0.19</v>
      </c>
      <c r="Y14" s="29">
        <v>0.11</v>
      </c>
      <c r="Z14" s="29">
        <v>0.17</v>
      </c>
      <c r="AA14" s="29"/>
      <c r="AB14" s="21">
        <f>расчеты!H11</f>
        <v>1.0891722565939432</v>
      </c>
      <c r="AC14" s="21">
        <f>расчеты!H45</f>
        <v>0.17512200586128296</v>
      </c>
      <c r="AD14" s="21">
        <f>расчеты!H81</f>
        <v>0.58263966134809497</v>
      </c>
      <c r="AE14" s="64"/>
      <c r="AF14" s="22">
        <f>расчеты!H115</f>
        <v>0.33761740149788338</v>
      </c>
      <c r="AG14" s="23"/>
      <c r="AH14" s="24"/>
      <c r="AI14" s="24"/>
      <c r="AJ14" s="20">
        <f t="shared" si="3"/>
        <v>2.1845513253012045</v>
      </c>
      <c r="AK14" s="25">
        <f t="shared" si="4"/>
        <v>38.94</v>
      </c>
    </row>
    <row r="15" spans="1:84" s="7" customFormat="1" ht="18" customHeight="1" thickBot="1" x14ac:dyDescent="0.3">
      <c r="A15" s="17">
        <f t="shared" si="1"/>
        <v>8</v>
      </c>
      <c r="B15" s="18" t="s">
        <v>53</v>
      </c>
      <c r="C15" s="19">
        <v>4647.8999999999996</v>
      </c>
      <c r="D15" s="29">
        <v>5.04</v>
      </c>
      <c r="E15" s="29">
        <v>5.58</v>
      </c>
      <c r="F15" s="29">
        <v>5.86</v>
      </c>
      <c r="G15" s="29">
        <v>2.39</v>
      </c>
      <c r="H15" s="29">
        <v>3.28</v>
      </c>
      <c r="I15" s="29">
        <v>2.72</v>
      </c>
      <c r="J15" s="30">
        <f t="shared" si="2"/>
        <v>10.294</v>
      </c>
      <c r="K15" s="31">
        <v>3.1739999999999999</v>
      </c>
      <c r="L15" s="31">
        <v>0.55000000000000004</v>
      </c>
      <c r="M15" s="31">
        <v>4.08</v>
      </c>
      <c r="N15" s="31">
        <v>2.4900000000000002</v>
      </c>
      <c r="O15" s="31"/>
      <c r="P15" s="29">
        <v>0.11</v>
      </c>
      <c r="Q15" s="29">
        <v>0.37</v>
      </c>
      <c r="R15" s="29">
        <v>1.1499999999999999</v>
      </c>
      <c r="S15" s="29">
        <v>0.85</v>
      </c>
      <c r="T15" s="29">
        <v>0.37</v>
      </c>
      <c r="U15" s="29">
        <v>0</v>
      </c>
      <c r="V15" s="29">
        <v>0.26</v>
      </c>
      <c r="W15" s="29">
        <v>0.25</v>
      </c>
      <c r="X15" s="29">
        <v>0</v>
      </c>
      <c r="Y15" s="29">
        <v>0.11</v>
      </c>
      <c r="Z15" s="29">
        <v>0.27</v>
      </c>
      <c r="AA15" s="29"/>
      <c r="AB15" s="21">
        <f>расчеты!H12</f>
        <v>1.0903453172400441</v>
      </c>
      <c r="AC15" s="21">
        <f>расчеты!H46</f>
        <v>0.17911745433421544</v>
      </c>
      <c r="AD15" s="21">
        <f>расчеты!H82</f>
        <v>0.59593271800167813</v>
      </c>
      <c r="AE15" s="64"/>
      <c r="AF15" s="22">
        <f>расчеты!H116</f>
        <v>0.34532021945394692</v>
      </c>
      <c r="AG15" s="23"/>
      <c r="AH15" s="24"/>
      <c r="AI15" s="24"/>
      <c r="AJ15" s="20">
        <f t="shared" si="3"/>
        <v>2.2107157090298846</v>
      </c>
      <c r="AK15" s="25">
        <f t="shared" si="4"/>
        <v>38.903999999999996</v>
      </c>
    </row>
    <row r="16" spans="1:84" s="7" customFormat="1" ht="18" customHeight="1" thickBot="1" x14ac:dyDescent="0.3">
      <c r="A16" s="17">
        <f t="shared" si="1"/>
        <v>9</v>
      </c>
      <c r="B16" s="18" t="s">
        <v>54</v>
      </c>
      <c r="C16" s="19">
        <v>3474</v>
      </c>
      <c r="D16" s="29">
        <v>5.04</v>
      </c>
      <c r="E16" s="29">
        <v>5.93</v>
      </c>
      <c r="F16" s="29">
        <v>5.66</v>
      </c>
      <c r="G16" s="29">
        <v>2.2200000000000002</v>
      </c>
      <c r="H16" s="29">
        <v>3.03</v>
      </c>
      <c r="I16" s="29">
        <v>2.83</v>
      </c>
      <c r="J16" s="30">
        <f t="shared" si="2"/>
        <v>10.06</v>
      </c>
      <c r="K16" s="31">
        <v>3.1</v>
      </c>
      <c r="L16" s="31">
        <v>0.91</v>
      </c>
      <c r="M16" s="31">
        <v>4.25</v>
      </c>
      <c r="N16" s="31">
        <v>2.4</v>
      </c>
      <c r="O16" s="31">
        <v>-0.6</v>
      </c>
      <c r="P16" s="29">
        <v>0.11</v>
      </c>
      <c r="Q16" s="29">
        <v>0.37</v>
      </c>
      <c r="R16" s="29">
        <v>1.37</v>
      </c>
      <c r="S16" s="29">
        <v>0.64</v>
      </c>
      <c r="T16" s="29">
        <v>0.49</v>
      </c>
      <c r="U16" s="29">
        <v>0</v>
      </c>
      <c r="V16" s="29">
        <v>0.35</v>
      </c>
      <c r="W16" s="29">
        <v>0.34</v>
      </c>
      <c r="X16" s="29">
        <v>0</v>
      </c>
      <c r="Y16" s="29">
        <v>0.14000000000000001</v>
      </c>
      <c r="Z16" s="29">
        <v>0.36</v>
      </c>
      <c r="AA16" s="29"/>
      <c r="AB16" s="21">
        <f>расчеты!H13</f>
        <v>1.1528013816925733</v>
      </c>
      <c r="AC16" s="21">
        <f>расчеты!H47</f>
        <v>0.20591096373056991</v>
      </c>
      <c r="AD16" s="21">
        <f>расчеты!H83</f>
        <v>0.68507606217616579</v>
      </c>
      <c r="AE16" s="64"/>
      <c r="AF16" s="22">
        <f>расчеты!H117</f>
        <v>0.39697537823834195</v>
      </c>
      <c r="AG16" s="23"/>
      <c r="AH16" s="24"/>
      <c r="AI16" s="24"/>
      <c r="AJ16" s="20">
        <f t="shared" si="3"/>
        <v>2.440763785837651</v>
      </c>
      <c r="AK16" s="25">
        <f t="shared" si="4"/>
        <v>38.940000000000005</v>
      </c>
    </row>
    <row r="17" spans="1:37" s="7" customFormat="1" ht="18" customHeight="1" thickBot="1" x14ac:dyDescent="0.3">
      <c r="A17" s="17">
        <f t="shared" si="1"/>
        <v>10</v>
      </c>
      <c r="B17" s="18" t="s">
        <v>55</v>
      </c>
      <c r="C17" s="19">
        <v>5501.92</v>
      </c>
      <c r="D17" s="29">
        <v>5.04</v>
      </c>
      <c r="E17" s="29">
        <v>5.66</v>
      </c>
      <c r="F17" s="29">
        <v>5.78</v>
      </c>
      <c r="G17" s="29">
        <v>2.2400000000000002</v>
      </c>
      <c r="H17" s="29">
        <v>3.08</v>
      </c>
      <c r="I17" s="29">
        <v>2.9</v>
      </c>
      <c r="J17" s="30">
        <f t="shared" si="2"/>
        <v>10.754</v>
      </c>
      <c r="K17" s="31">
        <v>3.294</v>
      </c>
      <c r="L17" s="31">
        <v>0.75</v>
      </c>
      <c r="M17" s="31">
        <v>4.3499999999999996</v>
      </c>
      <c r="N17" s="31">
        <v>2.36</v>
      </c>
      <c r="O17" s="31"/>
      <c r="P17" s="29">
        <v>0.11</v>
      </c>
      <c r="Q17" s="29">
        <v>0.37</v>
      </c>
      <c r="R17" s="29">
        <v>1.39</v>
      </c>
      <c r="S17" s="29">
        <v>0.55000000000000004</v>
      </c>
      <c r="T17" s="29">
        <v>0.31</v>
      </c>
      <c r="U17" s="29">
        <v>0</v>
      </c>
      <c r="V17" s="29">
        <v>0.22</v>
      </c>
      <c r="W17" s="29">
        <v>0.21</v>
      </c>
      <c r="X17" s="29">
        <v>0</v>
      </c>
      <c r="Y17" s="29">
        <v>0.09</v>
      </c>
      <c r="Z17" s="29">
        <v>0.23</v>
      </c>
      <c r="AA17" s="29"/>
      <c r="AB17" s="21">
        <f>расчеты!H14</f>
        <v>1.1285922005409019</v>
      </c>
      <c r="AC17" s="21">
        <f>расчеты!H48</f>
        <v>0.19496765928984788</v>
      </c>
      <c r="AD17" s="21">
        <f>расчеты!H84</f>
        <v>0.6486671416523685</v>
      </c>
      <c r="AE17" s="64"/>
      <c r="AF17" s="22">
        <f>расчеты!H118</f>
        <v>0.37587780120394326</v>
      </c>
      <c r="AG17" s="23"/>
      <c r="AH17" s="24"/>
      <c r="AI17" s="24"/>
      <c r="AJ17" s="20">
        <f t="shared" si="3"/>
        <v>2.3481048026870615</v>
      </c>
      <c r="AK17" s="25">
        <f t="shared" si="4"/>
        <v>38.93399999999999</v>
      </c>
    </row>
    <row r="18" spans="1:37" s="7" customFormat="1" ht="18" customHeight="1" thickBot="1" x14ac:dyDescent="0.3">
      <c r="A18" s="17">
        <f t="shared" si="1"/>
        <v>11</v>
      </c>
      <c r="B18" s="18" t="s">
        <v>56</v>
      </c>
      <c r="C18" s="19">
        <v>5501.9</v>
      </c>
      <c r="D18" s="29">
        <v>5.04</v>
      </c>
      <c r="E18" s="29">
        <v>5.76</v>
      </c>
      <c r="F18" s="29">
        <v>6.31</v>
      </c>
      <c r="G18" s="29">
        <v>2.19</v>
      </c>
      <c r="H18" s="29">
        <v>3</v>
      </c>
      <c r="I18" s="29">
        <v>2.81</v>
      </c>
      <c r="J18" s="30">
        <f t="shared" si="2"/>
        <v>10.3</v>
      </c>
      <c r="K18" s="31">
        <v>3.12</v>
      </c>
      <c r="L18" s="31">
        <v>0.66</v>
      </c>
      <c r="M18" s="31">
        <v>4.22</v>
      </c>
      <c r="N18" s="31">
        <v>2.2999999999999998</v>
      </c>
      <c r="O18" s="31"/>
      <c r="P18" s="29">
        <v>0.11</v>
      </c>
      <c r="Q18" s="29">
        <v>0.37</v>
      </c>
      <c r="R18" s="29">
        <v>1.23</v>
      </c>
      <c r="S18" s="29">
        <v>0.6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0.23</v>
      </c>
      <c r="AA18" s="29"/>
      <c r="AB18" s="21">
        <f>расчеты!H15</f>
        <v>1.1427732237954162</v>
      </c>
      <c r="AC18" s="21">
        <f>расчеты!H49</f>
        <v>0.20304923899016705</v>
      </c>
      <c r="AD18" s="21">
        <f>расчеты!H85</f>
        <v>0.67555496101346812</v>
      </c>
      <c r="AE18" s="64"/>
      <c r="AF18" s="22">
        <f>расчеты!H119</f>
        <v>0.39145826423599123</v>
      </c>
      <c r="AG18" s="23"/>
      <c r="AH18" s="24"/>
      <c r="AI18" s="24"/>
      <c r="AJ18" s="20">
        <f t="shared" si="3"/>
        <v>2.4128356880350426</v>
      </c>
      <c r="AK18" s="25">
        <f t="shared" si="4"/>
        <v>37.949999999999989</v>
      </c>
    </row>
    <row r="19" spans="1:37" s="7" customFormat="1" ht="18" customHeight="1" thickBot="1" x14ac:dyDescent="0.3">
      <c r="A19" s="17">
        <f t="shared" si="1"/>
        <v>12</v>
      </c>
      <c r="B19" s="18" t="s">
        <v>57</v>
      </c>
      <c r="C19" s="19">
        <v>894.9</v>
      </c>
      <c r="D19" s="29">
        <v>5.04</v>
      </c>
      <c r="E19" s="29">
        <v>5.03</v>
      </c>
      <c r="F19" s="29">
        <v>2.3199999999999998</v>
      </c>
      <c r="G19" s="29">
        <v>3.08</v>
      </c>
      <c r="H19" s="29">
        <v>3.48</v>
      </c>
      <c r="I19" s="29">
        <v>2.86</v>
      </c>
      <c r="J19" s="30">
        <f t="shared" si="2"/>
        <v>13.149999999999999</v>
      </c>
      <c r="K19" s="31">
        <v>6.16</v>
      </c>
      <c r="L19" s="31"/>
      <c r="M19" s="31">
        <v>4.29</v>
      </c>
      <c r="N19" s="31">
        <v>2.94</v>
      </c>
      <c r="O19" s="31">
        <v>-0.24</v>
      </c>
      <c r="P19" s="29">
        <v>0.11</v>
      </c>
      <c r="Q19" s="29">
        <v>0.37</v>
      </c>
      <c r="R19" s="29">
        <v>1.28</v>
      </c>
      <c r="S19" s="29">
        <v>0.81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0.7</v>
      </c>
      <c r="AA19" s="29"/>
      <c r="AB19" s="21">
        <f>расчеты!H16</f>
        <v>1.1641166610794502</v>
      </c>
      <c r="AC19" s="21">
        <f>расчеты!H50</f>
        <v>0.21545804894401607</v>
      </c>
      <c r="AD19" s="21">
        <f>расчеты!H86</f>
        <v>0.71683969158565197</v>
      </c>
      <c r="AE19" s="64"/>
      <c r="AF19" s="22">
        <f>расчеты!H120</f>
        <v>0.4153811867247737</v>
      </c>
      <c r="AG19" s="23"/>
      <c r="AH19" s="24"/>
      <c r="AI19" s="24"/>
      <c r="AJ19" s="20">
        <f t="shared" si="3"/>
        <v>2.511795588333892</v>
      </c>
      <c r="AK19" s="25">
        <f t="shared" si="4"/>
        <v>38.229999999999997</v>
      </c>
    </row>
    <row r="20" spans="1:37" s="7" customFormat="1" ht="18" customHeight="1" thickBot="1" x14ac:dyDescent="0.3">
      <c r="A20" s="17">
        <f t="shared" si="1"/>
        <v>13</v>
      </c>
      <c r="B20" s="18" t="s">
        <v>58</v>
      </c>
      <c r="C20" s="19">
        <v>3437.3</v>
      </c>
      <c r="D20" s="32">
        <v>5.04</v>
      </c>
      <c r="E20" s="32">
        <v>5.88</v>
      </c>
      <c r="F20" s="29">
        <v>3.22</v>
      </c>
      <c r="G20" s="29">
        <v>3.06</v>
      </c>
      <c r="H20" s="29">
        <v>3.29</v>
      </c>
      <c r="I20" s="29">
        <v>3.06</v>
      </c>
      <c r="J20" s="30">
        <f t="shared" si="2"/>
        <v>11.19</v>
      </c>
      <c r="K20" s="31">
        <v>4.12</v>
      </c>
      <c r="L20" s="31">
        <v>0.8</v>
      </c>
      <c r="M20" s="31">
        <v>4.58</v>
      </c>
      <c r="N20" s="31">
        <v>2.27</v>
      </c>
      <c r="O20" s="31">
        <v>-0.57999999999999996</v>
      </c>
      <c r="P20" s="29">
        <v>0.11</v>
      </c>
      <c r="Q20" s="29">
        <v>0.37</v>
      </c>
      <c r="R20" s="29">
        <v>1.33</v>
      </c>
      <c r="S20" s="29">
        <v>0.69</v>
      </c>
      <c r="T20" s="29">
        <v>0.5</v>
      </c>
      <c r="U20" s="29">
        <v>0</v>
      </c>
      <c r="V20" s="29">
        <v>0.36</v>
      </c>
      <c r="W20" s="29">
        <v>0.34</v>
      </c>
      <c r="X20" s="29">
        <v>0</v>
      </c>
      <c r="Y20" s="29">
        <v>0.14000000000000001</v>
      </c>
      <c r="Z20" s="29">
        <v>0.37</v>
      </c>
      <c r="AA20" s="29"/>
      <c r="AB20" s="21">
        <f>расчеты!H17</f>
        <v>1.0387594914613214</v>
      </c>
      <c r="AC20" s="21">
        <f>расчеты!H51</f>
        <v>0.16490519884793295</v>
      </c>
      <c r="AD20" s="21">
        <f>расчеты!H87</f>
        <v>0.54864783405579953</v>
      </c>
      <c r="AE20" s="64"/>
      <c r="AF20" s="22">
        <f>расчеты!H121</f>
        <v>0.31792043755273031</v>
      </c>
      <c r="AG20" s="23"/>
      <c r="AH20" s="24"/>
      <c r="AI20" s="24"/>
      <c r="AJ20" s="20">
        <f t="shared" si="3"/>
        <v>2.0702329619177844</v>
      </c>
      <c r="AK20" s="25">
        <f t="shared" si="4"/>
        <v>38.949999999999989</v>
      </c>
    </row>
    <row r="21" spans="1:37" s="7" customFormat="1" ht="18" customHeight="1" thickBot="1" x14ac:dyDescent="0.3">
      <c r="A21" s="17">
        <f t="shared" si="1"/>
        <v>14</v>
      </c>
      <c r="B21" s="18" t="s">
        <v>59</v>
      </c>
      <c r="C21" s="19">
        <v>3349.9</v>
      </c>
      <c r="D21" s="32">
        <v>5.04</v>
      </c>
      <c r="E21" s="32">
        <v>5.24</v>
      </c>
      <c r="F21" s="29">
        <v>5.03</v>
      </c>
      <c r="G21" s="29">
        <v>2.54</v>
      </c>
      <c r="H21" s="29">
        <v>3.49</v>
      </c>
      <c r="I21" s="29">
        <v>2.75</v>
      </c>
      <c r="J21" s="30">
        <f t="shared" si="2"/>
        <v>10.234999999999999</v>
      </c>
      <c r="K21" s="31">
        <v>3.415</v>
      </c>
      <c r="L21" s="31">
        <v>0.83</v>
      </c>
      <c r="M21" s="31">
        <v>4.12</v>
      </c>
      <c r="N21" s="31">
        <v>2.66</v>
      </c>
      <c r="O21" s="31">
        <v>-0.79</v>
      </c>
      <c r="P21" s="29">
        <v>0.1</v>
      </c>
      <c r="Q21" s="29">
        <v>0.37</v>
      </c>
      <c r="R21" s="29">
        <v>1.49</v>
      </c>
      <c r="S21" s="29">
        <v>0.89</v>
      </c>
      <c r="T21" s="29">
        <v>0.52</v>
      </c>
      <c r="U21" s="29">
        <v>0</v>
      </c>
      <c r="V21" s="29">
        <v>0.37</v>
      </c>
      <c r="W21" s="29">
        <v>0.35</v>
      </c>
      <c r="X21" s="29">
        <v>0</v>
      </c>
      <c r="Y21" s="29">
        <v>0.15</v>
      </c>
      <c r="Z21" s="29">
        <v>0.38</v>
      </c>
      <c r="AA21" s="29"/>
      <c r="AB21" s="21">
        <f>расчеты!H18</f>
        <v>0.99116510940625102</v>
      </c>
      <c r="AC21" s="21">
        <f>расчеты!H52</f>
        <v>0.15762306456909159</v>
      </c>
      <c r="AD21" s="21">
        <f>расчеты!H88</f>
        <v>0.52441980954655354</v>
      </c>
      <c r="AE21" s="64"/>
      <c r="AF21" s="22">
        <f>расчеты!H122</f>
        <v>0.30388122391713179</v>
      </c>
      <c r="AG21" s="23"/>
      <c r="AH21" s="24"/>
      <c r="AI21" s="24"/>
      <c r="AJ21" s="20">
        <f t="shared" si="3"/>
        <v>1.9770892074390281</v>
      </c>
      <c r="AK21" s="25">
        <f t="shared" si="4"/>
        <v>38.945000000000007</v>
      </c>
    </row>
    <row r="22" spans="1:37" s="7" customFormat="1" ht="18" customHeight="1" thickBot="1" x14ac:dyDescent="0.3">
      <c r="A22" s="17">
        <f t="shared" si="1"/>
        <v>15</v>
      </c>
      <c r="B22" s="18" t="s">
        <v>60</v>
      </c>
      <c r="C22" s="19">
        <v>3411</v>
      </c>
      <c r="D22" s="29">
        <v>5.04</v>
      </c>
      <c r="E22" s="29">
        <v>5.1100000000000003</v>
      </c>
      <c r="F22" s="29">
        <v>7.07</v>
      </c>
      <c r="G22" s="29">
        <v>3.12</v>
      </c>
      <c r="H22" s="29">
        <v>3.27</v>
      </c>
      <c r="I22" s="29">
        <v>2.5299999999999998</v>
      </c>
      <c r="J22" s="30">
        <f t="shared" si="2"/>
        <v>8.68</v>
      </c>
      <c r="K22" s="31">
        <v>2.71</v>
      </c>
      <c r="L22" s="31">
        <v>0.72</v>
      </c>
      <c r="M22" s="31">
        <v>3.8</v>
      </c>
      <c r="N22" s="31">
        <v>2.11</v>
      </c>
      <c r="O22" s="31">
        <v>-0.66</v>
      </c>
      <c r="P22" s="29">
        <v>0.11</v>
      </c>
      <c r="Q22" s="29">
        <v>0.37</v>
      </c>
      <c r="R22" s="29">
        <v>1.38</v>
      </c>
      <c r="S22" s="29">
        <v>0.53</v>
      </c>
      <c r="T22" s="29">
        <v>0.51</v>
      </c>
      <c r="U22" s="29">
        <v>0</v>
      </c>
      <c r="V22" s="29">
        <v>0.36</v>
      </c>
      <c r="W22" s="29">
        <v>0.35</v>
      </c>
      <c r="X22" s="29">
        <v>0</v>
      </c>
      <c r="Y22" s="29">
        <v>0.15</v>
      </c>
      <c r="Z22" s="29">
        <v>0.37</v>
      </c>
      <c r="AA22" s="29"/>
      <c r="AB22" s="21">
        <f>расчеты!H19</f>
        <v>1.0215233069481093</v>
      </c>
      <c r="AC22" s="21">
        <f>расчеты!H53</f>
        <v>0.16151835356200525</v>
      </c>
      <c r="AD22" s="21">
        <f>расчеты!H89</f>
        <v>0.53737963060686011</v>
      </c>
      <c r="AE22" s="64"/>
      <c r="AF22" s="22">
        <f>расчеты!H123</f>
        <v>0.31139094459102895</v>
      </c>
      <c r="AG22" s="23"/>
      <c r="AH22" s="24"/>
      <c r="AI22" s="24"/>
      <c r="AJ22" s="20">
        <f t="shared" si="3"/>
        <v>2.0318122357080037</v>
      </c>
      <c r="AK22" s="25">
        <f t="shared" si="4"/>
        <v>38.949999999999996</v>
      </c>
    </row>
    <row r="23" spans="1:37" s="7" customFormat="1" ht="18" customHeight="1" thickBot="1" x14ac:dyDescent="0.3">
      <c r="A23" s="17">
        <f t="shared" si="1"/>
        <v>16</v>
      </c>
      <c r="B23" s="18" t="s">
        <v>61</v>
      </c>
      <c r="C23" s="19">
        <v>3275</v>
      </c>
      <c r="D23" s="29">
        <v>5.04</v>
      </c>
      <c r="E23" s="29">
        <v>5.73</v>
      </c>
      <c r="F23" s="29">
        <v>4</v>
      </c>
      <c r="G23" s="29">
        <v>2.5</v>
      </c>
      <c r="H23" s="29">
        <v>3.47</v>
      </c>
      <c r="I23" s="29">
        <v>2.77</v>
      </c>
      <c r="J23" s="30">
        <f t="shared" si="2"/>
        <v>10.8</v>
      </c>
      <c r="K23" s="31">
        <v>3.84</v>
      </c>
      <c r="L23" s="31">
        <v>0.9</v>
      </c>
      <c r="M23" s="31">
        <v>4.16</v>
      </c>
      <c r="N23" s="31">
        <v>2.69</v>
      </c>
      <c r="O23" s="31">
        <v>-0.79</v>
      </c>
      <c r="P23" s="29">
        <v>0.11</v>
      </c>
      <c r="Q23" s="29">
        <v>0.37</v>
      </c>
      <c r="R23" s="29">
        <v>1.46</v>
      </c>
      <c r="S23" s="29">
        <v>0.9</v>
      </c>
      <c r="T23" s="29">
        <v>0.52</v>
      </c>
      <c r="U23" s="29">
        <v>0</v>
      </c>
      <c r="V23" s="29">
        <v>0.37</v>
      </c>
      <c r="W23" s="29">
        <v>0.36</v>
      </c>
      <c r="X23" s="29">
        <v>0</v>
      </c>
      <c r="Y23" s="29">
        <v>0.15</v>
      </c>
      <c r="Z23" s="29">
        <v>0.38</v>
      </c>
      <c r="AA23" s="29"/>
      <c r="AB23" s="21">
        <f>расчеты!H20</f>
        <v>1.0576561832061069</v>
      </c>
      <c r="AC23" s="21">
        <f>расчеты!H54</f>
        <v>0.17251762809160304</v>
      </c>
      <c r="AD23" s="21">
        <f>расчеты!H90</f>
        <v>0.57397476641221368</v>
      </c>
      <c r="AE23" s="64"/>
      <c r="AF23" s="22">
        <f>расчеты!H124</f>
        <v>0.33259642625954194</v>
      </c>
      <c r="AG23" s="23"/>
      <c r="AH23" s="24"/>
      <c r="AI23" s="24"/>
      <c r="AJ23" s="20">
        <f t="shared" si="3"/>
        <v>2.1367450039694655</v>
      </c>
      <c r="AK23" s="25">
        <f t="shared" si="4"/>
        <v>38.93</v>
      </c>
    </row>
    <row r="24" spans="1:37" s="7" customFormat="1" ht="18" customHeight="1" thickBot="1" x14ac:dyDescent="0.3">
      <c r="A24" s="17">
        <f t="shared" si="1"/>
        <v>17</v>
      </c>
      <c r="B24" s="18" t="s">
        <v>62</v>
      </c>
      <c r="C24" s="19">
        <v>4650.5</v>
      </c>
      <c r="D24" s="29">
        <v>5.04</v>
      </c>
      <c r="E24" s="29">
        <v>5.4</v>
      </c>
      <c r="F24" s="29">
        <v>6.8</v>
      </c>
      <c r="G24" s="29">
        <v>2.23</v>
      </c>
      <c r="H24" s="29">
        <v>3.06</v>
      </c>
      <c r="I24" s="29">
        <v>2.54</v>
      </c>
      <c r="J24" s="30">
        <f t="shared" si="2"/>
        <v>10.135</v>
      </c>
      <c r="K24" s="31">
        <v>3.3250000000000002</v>
      </c>
      <c r="L24" s="31">
        <v>0.84</v>
      </c>
      <c r="M24" s="31">
        <v>3.81</v>
      </c>
      <c r="N24" s="31">
        <v>2.4300000000000002</v>
      </c>
      <c r="O24" s="31">
        <v>-0.27</v>
      </c>
      <c r="P24" s="29">
        <v>0.1</v>
      </c>
      <c r="Q24" s="29">
        <v>0.37</v>
      </c>
      <c r="R24" s="29">
        <v>1.48</v>
      </c>
      <c r="S24" s="29">
        <v>0.54</v>
      </c>
      <c r="T24" s="29">
        <v>0.37</v>
      </c>
      <c r="U24" s="29">
        <v>0</v>
      </c>
      <c r="V24" s="29">
        <v>0.26</v>
      </c>
      <c r="W24" s="29">
        <v>0.25</v>
      </c>
      <c r="X24" s="29">
        <v>0</v>
      </c>
      <c r="Y24" s="29">
        <v>0.11</v>
      </c>
      <c r="Z24" s="29">
        <v>0.27</v>
      </c>
      <c r="AA24" s="29"/>
      <c r="AB24" s="21">
        <f>расчеты!H21</f>
        <v>1.0501528867863672</v>
      </c>
      <c r="AC24" s="21">
        <f>расчеты!H55</f>
        <v>0.18519372282550262</v>
      </c>
      <c r="AD24" s="21">
        <f>расчеты!H91</f>
        <v>0.61614876679926878</v>
      </c>
      <c r="AE24" s="64"/>
      <c r="AF24" s="22">
        <f>расчеты!H125</f>
        <v>0.35703464659714002</v>
      </c>
      <c r="AG24" s="23"/>
      <c r="AH24" s="24"/>
      <c r="AI24" s="24"/>
      <c r="AJ24" s="20">
        <f t="shared" si="3"/>
        <v>2.2085300230082785</v>
      </c>
      <c r="AK24" s="25">
        <f t="shared" si="4"/>
        <v>38.954999999999991</v>
      </c>
    </row>
    <row r="25" spans="1:37" s="7" customFormat="1" ht="18" customHeight="1" thickBot="1" x14ac:dyDescent="0.3">
      <c r="A25" s="17">
        <f t="shared" si="1"/>
        <v>18</v>
      </c>
      <c r="B25" s="18" t="s">
        <v>63</v>
      </c>
      <c r="C25" s="19">
        <v>3257</v>
      </c>
      <c r="D25" s="29">
        <v>5.04</v>
      </c>
      <c r="E25" s="29">
        <v>5.43</v>
      </c>
      <c r="F25" s="29">
        <v>6.04</v>
      </c>
      <c r="G25" s="29">
        <v>2.33</v>
      </c>
      <c r="H25" s="29">
        <v>3.22</v>
      </c>
      <c r="I25" s="29">
        <v>2.59</v>
      </c>
      <c r="J25" s="30">
        <f t="shared" si="2"/>
        <v>10.145</v>
      </c>
      <c r="K25" s="31">
        <v>3.625</v>
      </c>
      <c r="L25" s="31">
        <v>0.86</v>
      </c>
      <c r="M25" s="31">
        <v>3.88</v>
      </c>
      <c r="N25" s="31">
        <v>2.5299999999999998</v>
      </c>
      <c r="O25" s="31">
        <v>-0.75</v>
      </c>
      <c r="P25" s="29">
        <v>0.11</v>
      </c>
      <c r="Q25" s="29">
        <v>0.37</v>
      </c>
      <c r="R25" s="29">
        <v>1.4</v>
      </c>
      <c r="S25" s="29">
        <v>0.45</v>
      </c>
      <c r="T25" s="29">
        <v>0.53</v>
      </c>
      <c r="U25" s="29">
        <v>0</v>
      </c>
      <c r="V25" s="29">
        <v>0.38</v>
      </c>
      <c r="W25" s="29">
        <v>0.36</v>
      </c>
      <c r="X25" s="29">
        <v>0</v>
      </c>
      <c r="Y25" s="29">
        <v>0.15</v>
      </c>
      <c r="Z25" s="29">
        <v>0.39</v>
      </c>
      <c r="AA25" s="29"/>
      <c r="AB25" s="21">
        <f>расчеты!H22</f>
        <v>1.0830432913724286</v>
      </c>
      <c r="AC25" s="21">
        <f>расчеты!H56</f>
        <v>0.17811508996008593</v>
      </c>
      <c r="AD25" s="21">
        <f>расчеты!H92</f>
        <v>0.59259780165796727</v>
      </c>
      <c r="AE25" s="64"/>
      <c r="AF25" s="22">
        <f>расчеты!H126</f>
        <v>0.34338776297206008</v>
      </c>
      <c r="AG25" s="23"/>
      <c r="AH25" s="24"/>
      <c r="AI25" s="24"/>
      <c r="AJ25" s="20">
        <f t="shared" si="3"/>
        <v>2.1971439459625417</v>
      </c>
      <c r="AK25" s="25">
        <f t="shared" si="4"/>
        <v>38.934999999999995</v>
      </c>
    </row>
    <row r="26" spans="1:37" s="7" customFormat="1" ht="18" customHeight="1" thickBot="1" x14ac:dyDescent="0.3">
      <c r="A26" s="17">
        <f t="shared" si="1"/>
        <v>19</v>
      </c>
      <c r="B26" s="18" t="s">
        <v>64</v>
      </c>
      <c r="C26" s="19">
        <v>4619.5</v>
      </c>
      <c r="D26" s="29">
        <v>5.04</v>
      </c>
      <c r="E26" s="29">
        <v>5.87</v>
      </c>
      <c r="F26" s="29">
        <v>4.0199999999999996</v>
      </c>
      <c r="G26" s="29">
        <v>2.2799999999999998</v>
      </c>
      <c r="H26" s="29">
        <v>3.19</v>
      </c>
      <c r="I26" s="29">
        <v>2.96</v>
      </c>
      <c r="J26" s="30">
        <f t="shared" si="2"/>
        <v>11.980000000000002</v>
      </c>
      <c r="K26" s="31">
        <v>4.37</v>
      </c>
      <c r="L26" s="31">
        <v>0.91</v>
      </c>
      <c r="M26" s="31">
        <v>4.4400000000000004</v>
      </c>
      <c r="N26" s="31">
        <v>2.4500000000000002</v>
      </c>
      <c r="O26" s="31">
        <v>-0.19</v>
      </c>
      <c r="P26" s="29">
        <v>0.1</v>
      </c>
      <c r="Q26" s="29">
        <v>0.37</v>
      </c>
      <c r="R26" s="29">
        <v>1.38</v>
      </c>
      <c r="S26" s="29">
        <v>0.49</v>
      </c>
      <c r="T26" s="29">
        <v>0.37</v>
      </c>
      <c r="U26" s="29">
        <v>0</v>
      </c>
      <c r="V26" s="29">
        <v>0.26</v>
      </c>
      <c r="W26" s="29">
        <v>0.26</v>
      </c>
      <c r="X26" s="29">
        <v>0</v>
      </c>
      <c r="Y26" s="29">
        <v>0.11</v>
      </c>
      <c r="Z26" s="29">
        <v>0.27</v>
      </c>
      <c r="AA26" s="29"/>
      <c r="AB26" s="21">
        <f>расчеты!H23</f>
        <v>1.0579430674315404</v>
      </c>
      <c r="AC26" s="21">
        <f>расчеты!H57</f>
        <v>0.18686645740881044</v>
      </c>
      <c r="AD26" s="21">
        <f>расчеты!H93</f>
        <v>0.62171403831583505</v>
      </c>
      <c r="AE26" s="64"/>
      <c r="AF26" s="22">
        <f>расчеты!H127</f>
        <v>0.36025950860482736</v>
      </c>
      <c r="AG26" s="23"/>
      <c r="AH26" s="24"/>
      <c r="AI26" s="24"/>
      <c r="AJ26" s="20">
        <f t="shared" si="3"/>
        <v>2.2267830717610133</v>
      </c>
      <c r="AK26" s="25">
        <f t="shared" si="4"/>
        <v>38.950000000000003</v>
      </c>
    </row>
    <row r="27" spans="1:37" s="7" customFormat="1" ht="18" customHeight="1" thickBot="1" x14ac:dyDescent="0.3">
      <c r="A27" s="17">
        <f t="shared" si="1"/>
        <v>20</v>
      </c>
      <c r="B27" s="18" t="s">
        <v>65</v>
      </c>
      <c r="C27" s="19">
        <v>3312</v>
      </c>
      <c r="D27" s="29">
        <v>5.04</v>
      </c>
      <c r="E27" s="29">
        <v>5.28</v>
      </c>
      <c r="F27" s="29">
        <v>5.68</v>
      </c>
      <c r="G27" s="29">
        <v>2.35</v>
      </c>
      <c r="H27" s="29">
        <v>3.25</v>
      </c>
      <c r="I27" s="29">
        <v>2.56</v>
      </c>
      <c r="J27" s="30">
        <f t="shared" si="2"/>
        <v>9.9699999999999989</v>
      </c>
      <c r="K27" s="31">
        <v>3.55</v>
      </c>
      <c r="L27" s="31">
        <v>0.8</v>
      </c>
      <c r="M27" s="31">
        <v>3.85</v>
      </c>
      <c r="N27" s="31">
        <v>2.5099999999999998</v>
      </c>
      <c r="O27" s="31">
        <v>-0.74</v>
      </c>
      <c r="P27" s="29">
        <v>0.11</v>
      </c>
      <c r="Q27" s="29">
        <v>0.37</v>
      </c>
      <c r="R27" s="29">
        <v>1.43</v>
      </c>
      <c r="S27" s="29">
        <v>1.1399999999999999</v>
      </c>
      <c r="T27" s="29">
        <v>0.52</v>
      </c>
      <c r="U27" s="29">
        <v>0</v>
      </c>
      <c r="V27" s="29">
        <v>0.37</v>
      </c>
      <c r="W27" s="29">
        <v>0.36</v>
      </c>
      <c r="X27" s="29">
        <v>0</v>
      </c>
      <c r="Y27" s="29">
        <v>0.15</v>
      </c>
      <c r="Z27" s="29">
        <v>0.38</v>
      </c>
      <c r="AA27" s="29"/>
      <c r="AB27" s="21">
        <f>расчеты!H24</f>
        <v>1.0534710144927537</v>
      </c>
      <c r="AC27" s="21">
        <f>расчеты!H58</f>
        <v>0.16994452173913041</v>
      </c>
      <c r="AD27" s="21">
        <f>расчеты!H94</f>
        <v>0.5654139130434781</v>
      </c>
      <c r="AE27" s="64"/>
      <c r="AF27" s="22">
        <f>расчеты!H128</f>
        <v>0.32763573913043476</v>
      </c>
      <c r="AG27" s="23"/>
      <c r="AH27" s="24"/>
      <c r="AI27" s="24"/>
      <c r="AJ27" s="20">
        <f t="shared" si="3"/>
        <v>2.116465188405797</v>
      </c>
      <c r="AK27" s="25">
        <f t="shared" si="4"/>
        <v>38.959999999999994</v>
      </c>
    </row>
    <row r="28" spans="1:37" s="7" customFormat="1" ht="18" customHeight="1" thickBot="1" x14ac:dyDescent="0.3">
      <c r="A28" s="17">
        <f t="shared" si="1"/>
        <v>21</v>
      </c>
      <c r="B28" s="18" t="s">
        <v>66</v>
      </c>
      <c r="C28" s="19">
        <v>3352.8</v>
      </c>
      <c r="D28" s="29">
        <v>5.04</v>
      </c>
      <c r="E28" s="29">
        <v>5.37</v>
      </c>
      <c r="F28" s="29">
        <v>6.96</v>
      </c>
      <c r="G28" s="29">
        <v>3.13</v>
      </c>
      <c r="H28" s="29">
        <v>3.3</v>
      </c>
      <c r="I28" s="29">
        <v>2.56</v>
      </c>
      <c r="J28" s="30">
        <f t="shared" si="2"/>
        <v>8.3149999999999977</v>
      </c>
      <c r="K28" s="31">
        <v>2.605</v>
      </c>
      <c r="L28" s="31">
        <v>0.38</v>
      </c>
      <c r="M28" s="31">
        <v>3.84</v>
      </c>
      <c r="N28" s="31">
        <v>2.13</v>
      </c>
      <c r="O28" s="31">
        <v>-0.64</v>
      </c>
      <c r="P28" s="29">
        <v>0.11</v>
      </c>
      <c r="Q28" s="29">
        <v>0.37</v>
      </c>
      <c r="R28" s="29">
        <v>1.34</v>
      </c>
      <c r="S28" s="29">
        <v>0.69</v>
      </c>
      <c r="T28" s="29">
        <v>0.51</v>
      </c>
      <c r="U28" s="29">
        <v>0</v>
      </c>
      <c r="V28" s="29">
        <v>0.36</v>
      </c>
      <c r="W28" s="29">
        <v>0.35</v>
      </c>
      <c r="X28" s="29">
        <v>0</v>
      </c>
      <c r="Y28" s="29">
        <v>0.15</v>
      </c>
      <c r="Z28" s="29">
        <v>0.38</v>
      </c>
      <c r="AA28" s="29"/>
      <c r="AB28" s="21">
        <f>расчеты!H25</f>
        <v>1.0685683607730851</v>
      </c>
      <c r="AC28" s="21">
        <f>расчеты!H59</f>
        <v>0.17174984967788112</v>
      </c>
      <c r="AD28" s="21">
        <f>расчеты!H95</f>
        <v>0.57142032927702213</v>
      </c>
      <c r="AE28" s="64"/>
      <c r="AF28" s="22">
        <f>расчеты!H129</f>
        <v>0.33111622763063703</v>
      </c>
      <c r="AG28" s="23"/>
      <c r="AH28" s="24"/>
      <c r="AI28" s="24"/>
      <c r="AJ28" s="20">
        <f t="shared" si="3"/>
        <v>2.1428547673586253</v>
      </c>
      <c r="AK28" s="25">
        <f t="shared" si="4"/>
        <v>38.934999999999995</v>
      </c>
    </row>
    <row r="29" spans="1:37" s="7" customFormat="1" ht="18" customHeight="1" thickBot="1" x14ac:dyDescent="0.3">
      <c r="A29" s="17">
        <f t="shared" si="1"/>
        <v>22</v>
      </c>
      <c r="B29" s="18" t="s">
        <v>67</v>
      </c>
      <c r="C29" s="19">
        <v>3440.8</v>
      </c>
      <c r="D29" s="29">
        <v>5.04</v>
      </c>
      <c r="E29" s="29">
        <v>4.4800000000000004</v>
      </c>
      <c r="F29" s="29">
        <v>7.53</v>
      </c>
      <c r="G29" s="29">
        <v>3.08</v>
      </c>
      <c r="H29" s="29">
        <v>3.23</v>
      </c>
      <c r="I29" s="29">
        <v>2.5</v>
      </c>
      <c r="J29" s="30">
        <f t="shared" si="2"/>
        <v>8.99</v>
      </c>
      <c r="K29" s="31">
        <v>2.74</v>
      </c>
      <c r="L29" s="31">
        <v>0.88</v>
      </c>
      <c r="M29" s="31">
        <v>3.75</v>
      </c>
      <c r="N29" s="31">
        <v>2.1800000000000002</v>
      </c>
      <c r="O29" s="31">
        <v>-0.56000000000000005</v>
      </c>
      <c r="P29" s="29">
        <v>0.11</v>
      </c>
      <c r="Q29" s="29">
        <v>0.37</v>
      </c>
      <c r="R29" s="29">
        <v>1.32</v>
      </c>
      <c r="S29" s="29">
        <v>0.6</v>
      </c>
      <c r="T29" s="29">
        <v>0.5</v>
      </c>
      <c r="U29" s="29">
        <v>0</v>
      </c>
      <c r="V29" s="29">
        <v>0.35</v>
      </c>
      <c r="W29" s="29">
        <v>0.34</v>
      </c>
      <c r="X29" s="29">
        <v>0</v>
      </c>
      <c r="Y29" s="29">
        <v>0.14000000000000001</v>
      </c>
      <c r="Z29" s="29">
        <v>0.37</v>
      </c>
      <c r="AA29" s="29"/>
      <c r="AB29" s="21">
        <f>расчеты!H26</f>
        <v>0.99136712392466864</v>
      </c>
      <c r="AC29" s="21">
        <f>расчеты!H60</f>
        <v>0.14462261334573351</v>
      </c>
      <c r="AD29" s="21">
        <f>расчеты!H96</f>
        <v>0.48116665891653093</v>
      </c>
      <c r="AE29" s="65"/>
      <c r="AF29" s="22">
        <f>расчеты!H130</f>
        <v>0.27881767728435242</v>
      </c>
      <c r="AG29" s="23"/>
      <c r="AH29" s="24"/>
      <c r="AI29" s="24"/>
      <c r="AJ29" s="20">
        <f t="shared" si="3"/>
        <v>1.8959740734712855</v>
      </c>
      <c r="AK29" s="25">
        <f t="shared" si="4"/>
        <v>38.950000000000003</v>
      </c>
    </row>
    <row r="30" spans="1:37" s="7" customFormat="1" ht="18" customHeight="1" thickBot="1" x14ac:dyDescent="0.3">
      <c r="A30" s="17">
        <f t="shared" si="1"/>
        <v>23</v>
      </c>
      <c r="B30" s="18" t="s">
        <v>68</v>
      </c>
      <c r="C30" s="19">
        <v>3391.8</v>
      </c>
      <c r="D30" s="29">
        <v>5.04</v>
      </c>
      <c r="E30" s="29">
        <v>5.28</v>
      </c>
      <c r="F30" s="29">
        <v>7.45</v>
      </c>
      <c r="G30" s="29">
        <v>3.02</v>
      </c>
      <c r="H30" s="29">
        <v>3.16</v>
      </c>
      <c r="I30" s="29">
        <v>2.44</v>
      </c>
      <c r="J30" s="30">
        <f t="shared" si="2"/>
        <v>8.9939999999999998</v>
      </c>
      <c r="K30" s="31">
        <v>2.6040000000000001</v>
      </c>
      <c r="L30" s="31">
        <v>0.69</v>
      </c>
      <c r="M30" s="31">
        <v>3.65</v>
      </c>
      <c r="N30" s="31">
        <v>2.0499999999999998</v>
      </c>
      <c r="O30" s="31"/>
      <c r="P30" s="29">
        <v>0.11</v>
      </c>
      <c r="Q30" s="29">
        <v>0.37</v>
      </c>
      <c r="R30" s="29">
        <v>1.25</v>
      </c>
      <c r="S30" s="29">
        <v>0.63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0.37</v>
      </c>
      <c r="AA30" s="29"/>
      <c r="AB30" s="21">
        <f>расчеты!H27</f>
        <v>1.0815779232266052</v>
      </c>
      <c r="AC30" s="21">
        <f>расчеты!H61</f>
        <v>0.17599124004953118</v>
      </c>
      <c r="AD30" s="21">
        <f>расчеты!H97</f>
        <v>0.5855316469131433</v>
      </c>
      <c r="AE30" s="64"/>
      <c r="AF30" s="22">
        <f>расчеты!H131</f>
        <v>0.33929319653281437</v>
      </c>
      <c r="AG30" s="23"/>
      <c r="AH30" s="24"/>
      <c r="AI30" s="24"/>
      <c r="AJ30" s="20">
        <f t="shared" si="3"/>
        <v>2.1823940067220939</v>
      </c>
      <c r="AK30" s="25">
        <f t="shared" si="4"/>
        <v>38.113999999999997</v>
      </c>
    </row>
    <row r="31" spans="1:37" s="7" customFormat="1" ht="18" customHeight="1" thickBot="1" x14ac:dyDescent="0.3">
      <c r="A31" s="17">
        <f t="shared" si="1"/>
        <v>24</v>
      </c>
      <c r="B31" s="18" t="s">
        <v>69</v>
      </c>
      <c r="C31" s="19">
        <v>3431.8</v>
      </c>
      <c r="D31" s="29">
        <v>5.04</v>
      </c>
      <c r="E31" s="29">
        <v>4.53</v>
      </c>
      <c r="F31" s="29">
        <v>7.55</v>
      </c>
      <c r="G31" s="29">
        <v>3.04</v>
      </c>
      <c r="H31" s="29">
        <v>3.19</v>
      </c>
      <c r="I31" s="29">
        <v>2.48</v>
      </c>
      <c r="J31" s="30">
        <f t="shared" si="2"/>
        <v>8.8849999999999998</v>
      </c>
      <c r="K31" s="31">
        <v>2.7349999999999999</v>
      </c>
      <c r="L31" s="31">
        <v>0.89</v>
      </c>
      <c r="M31" s="31">
        <v>3.72</v>
      </c>
      <c r="N31" s="31">
        <v>2.17</v>
      </c>
      <c r="O31" s="31">
        <v>-0.63</v>
      </c>
      <c r="P31" s="29">
        <v>0.11</v>
      </c>
      <c r="Q31" s="29">
        <v>0.37</v>
      </c>
      <c r="R31" s="29">
        <v>1.38</v>
      </c>
      <c r="S31" s="29">
        <v>0.66</v>
      </c>
      <c r="T31" s="29">
        <v>0.5</v>
      </c>
      <c r="U31" s="29">
        <v>0</v>
      </c>
      <c r="V31" s="29">
        <v>0.36</v>
      </c>
      <c r="W31" s="29">
        <v>0.34</v>
      </c>
      <c r="X31" s="29">
        <v>0</v>
      </c>
      <c r="Y31" s="29">
        <v>0.14000000000000001</v>
      </c>
      <c r="Z31" s="29">
        <v>0.37</v>
      </c>
      <c r="AA31" s="29"/>
      <c r="AB31" s="21">
        <f>расчеты!H28</f>
        <v>0.97805699632845744</v>
      </c>
      <c r="AC31" s="21">
        <f>расчеты!H62</f>
        <v>0.14794021563028145</v>
      </c>
      <c r="AD31" s="21">
        <f>расчеты!H98</f>
        <v>0.49220448744099293</v>
      </c>
      <c r="AE31" s="64"/>
      <c r="AF31" s="22">
        <f>расчеты!H132</f>
        <v>0.28521367678769155</v>
      </c>
      <c r="AG31" s="23"/>
      <c r="AH31" s="24"/>
      <c r="AI31" s="24"/>
      <c r="AJ31" s="20">
        <f t="shared" si="3"/>
        <v>1.9034153761874235</v>
      </c>
      <c r="AK31" s="25">
        <f t="shared" si="4"/>
        <v>38.945</v>
      </c>
    </row>
    <row r="32" spans="1:37" s="7" customFormat="1" ht="18" customHeight="1" thickBot="1" x14ac:dyDescent="0.3">
      <c r="A32" s="17">
        <f t="shared" si="1"/>
        <v>25</v>
      </c>
      <c r="B32" s="18" t="s">
        <v>70</v>
      </c>
      <c r="C32" s="19">
        <v>944.4</v>
      </c>
      <c r="D32" s="29">
        <v>5.04</v>
      </c>
      <c r="E32" s="29">
        <v>4.37</v>
      </c>
      <c r="F32" s="29">
        <v>6.06</v>
      </c>
      <c r="G32" s="29">
        <v>2.86</v>
      </c>
      <c r="H32" s="29">
        <v>3.07</v>
      </c>
      <c r="I32" s="29">
        <v>2.5</v>
      </c>
      <c r="J32" s="30">
        <f t="shared" si="2"/>
        <v>11.645</v>
      </c>
      <c r="K32" s="31">
        <v>5.2750000000000004</v>
      </c>
      <c r="L32" s="31"/>
      <c r="M32" s="31">
        <v>3.75</v>
      </c>
      <c r="N32" s="31">
        <v>2.62</v>
      </c>
      <c r="O32" s="31"/>
      <c r="P32" s="29">
        <v>0.11</v>
      </c>
      <c r="Q32" s="29">
        <v>0.37</v>
      </c>
      <c r="R32" s="29">
        <v>0.9</v>
      </c>
      <c r="S32" s="29">
        <v>0.46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0.67</v>
      </c>
      <c r="AA32" s="29"/>
      <c r="AB32" s="21">
        <f>расчеты!H29</f>
        <v>1.0809656925031765</v>
      </c>
      <c r="AC32" s="21">
        <f>расчеты!H63</f>
        <v>0.18151593392630241</v>
      </c>
      <c r="AD32" s="21">
        <f>расчеты!H99</f>
        <v>0.6039125794155018</v>
      </c>
      <c r="AE32" s="64"/>
      <c r="AF32" s="22">
        <f>расчеты!H133</f>
        <v>0.34994424396442186</v>
      </c>
      <c r="AG32" s="23"/>
      <c r="AH32" s="24"/>
      <c r="AI32" s="24"/>
      <c r="AJ32" s="20">
        <f t="shared" si="3"/>
        <v>2.2163384498094025</v>
      </c>
      <c r="AK32" s="25">
        <f t="shared" si="4"/>
        <v>38.055</v>
      </c>
    </row>
    <row r="33" spans="1:37" s="7" customFormat="1" ht="18" customHeight="1" thickBot="1" x14ac:dyDescent="0.3">
      <c r="A33" s="17">
        <v>26</v>
      </c>
      <c r="B33" s="18" t="s">
        <v>71</v>
      </c>
      <c r="C33" s="19">
        <v>3348.35</v>
      </c>
      <c r="D33" s="29">
        <v>5.04</v>
      </c>
      <c r="E33" s="29">
        <v>5.17</v>
      </c>
      <c r="F33" s="29">
        <v>5.39</v>
      </c>
      <c r="G33" s="29">
        <v>2.61</v>
      </c>
      <c r="H33" s="29">
        <v>3.61</v>
      </c>
      <c r="I33" s="29">
        <v>2.82</v>
      </c>
      <c r="J33" s="30">
        <f t="shared" si="2"/>
        <v>9.7999999999999989</v>
      </c>
      <c r="K33" s="31">
        <v>3.48</v>
      </c>
      <c r="L33" s="31">
        <v>0.7</v>
      </c>
      <c r="M33" s="31">
        <v>4.2300000000000004</v>
      </c>
      <c r="N33" s="31">
        <v>2.02</v>
      </c>
      <c r="O33" s="31">
        <v>-0.63</v>
      </c>
      <c r="P33" s="29">
        <v>0.11</v>
      </c>
      <c r="Q33" s="29">
        <v>0.37</v>
      </c>
      <c r="R33" s="29">
        <v>1.43</v>
      </c>
      <c r="S33" s="29">
        <v>0.94</v>
      </c>
      <c r="T33" s="29">
        <v>0.43</v>
      </c>
      <c r="U33" s="29">
        <v>0.26</v>
      </c>
      <c r="V33" s="29">
        <v>0.37</v>
      </c>
      <c r="W33" s="29">
        <v>0.35</v>
      </c>
      <c r="X33" s="29">
        <v>0.26</v>
      </c>
      <c r="Y33" s="29">
        <v>0.15</v>
      </c>
      <c r="Z33" s="29">
        <v>0.19</v>
      </c>
      <c r="AA33" s="29"/>
      <c r="AB33" s="21">
        <f>расчеты!H30</f>
        <v>1.0008487762629354</v>
      </c>
      <c r="AC33" s="21">
        <f>расчеты!H64</f>
        <v>0.13400917825197484</v>
      </c>
      <c r="AD33" s="21"/>
      <c r="AE33" s="21">
        <f>расчеты!I100</f>
        <v>0.43</v>
      </c>
      <c r="AF33" s="22">
        <f>расчеты!H134</f>
        <v>0.25835605477324647</v>
      </c>
      <c r="AG33" s="23"/>
      <c r="AH33" s="24"/>
      <c r="AI33" s="24"/>
      <c r="AJ33" s="20">
        <f t="shared" si="3"/>
        <v>1.8232140092881566</v>
      </c>
      <c r="AK33" s="25">
        <f t="shared" si="4"/>
        <v>39.299999999999983</v>
      </c>
    </row>
    <row r="34" spans="1:37" s="7" customFormat="1" ht="18" customHeight="1" thickBot="1" x14ac:dyDescent="0.3">
      <c r="A34" s="17">
        <f t="shared" ref="A34:A39" si="5">A33+1</f>
        <v>27</v>
      </c>
      <c r="B34" s="18" t="s">
        <v>72</v>
      </c>
      <c r="C34" s="19">
        <v>5267.5</v>
      </c>
      <c r="D34" s="29">
        <v>5.04</v>
      </c>
      <c r="E34" s="29">
        <v>6.85</v>
      </c>
      <c r="F34" s="29">
        <v>5.69</v>
      </c>
      <c r="G34" s="29">
        <v>2.3199999999999998</v>
      </c>
      <c r="H34" s="29">
        <v>2.5</v>
      </c>
      <c r="I34" s="29">
        <v>1.4</v>
      </c>
      <c r="J34" s="30">
        <f t="shared" si="2"/>
        <v>8.745000000000001</v>
      </c>
      <c r="K34" s="31">
        <v>4.7850000000000001</v>
      </c>
      <c r="L34" s="31">
        <v>1.55</v>
      </c>
      <c r="M34" s="31">
        <v>2.09</v>
      </c>
      <c r="N34" s="31">
        <v>2.2599999999999998</v>
      </c>
      <c r="O34" s="31">
        <v>-1.94</v>
      </c>
      <c r="P34" s="29">
        <v>0.12</v>
      </c>
      <c r="Q34" s="29">
        <v>0.37</v>
      </c>
      <c r="R34" s="29">
        <v>1.69</v>
      </c>
      <c r="S34" s="29">
        <v>1.53</v>
      </c>
      <c r="T34" s="29">
        <v>0.27</v>
      </c>
      <c r="U34" s="29">
        <v>0.17</v>
      </c>
      <c r="V34" s="29">
        <v>0.23</v>
      </c>
      <c r="W34" s="29">
        <v>0.22</v>
      </c>
      <c r="X34" s="29">
        <v>0.16</v>
      </c>
      <c r="Y34" s="29">
        <v>0.09</v>
      </c>
      <c r="Z34" s="29">
        <v>0.24</v>
      </c>
      <c r="AA34" s="29">
        <v>1.65</v>
      </c>
      <c r="AB34" s="21">
        <f>расчеты!H31</f>
        <v>1.3563929757949691</v>
      </c>
      <c r="AC34" s="21">
        <f>расчеты!H65</f>
        <v>0.25591460996677745</v>
      </c>
      <c r="AD34" s="21"/>
      <c r="AE34" s="21">
        <f>расчеты!I101</f>
        <v>0.79</v>
      </c>
      <c r="AF34" s="22">
        <f>расчеты!H135</f>
        <v>0.49337731827242526</v>
      </c>
      <c r="AG34" s="23"/>
      <c r="AH34" s="24"/>
      <c r="AI34" s="24"/>
      <c r="AJ34" s="20">
        <f t="shared" si="3"/>
        <v>2.8956849040341721</v>
      </c>
      <c r="AK34" s="25">
        <f t="shared" si="4"/>
        <v>39.284999999999997</v>
      </c>
    </row>
    <row r="35" spans="1:37" s="7" customFormat="1" ht="18" customHeight="1" thickBot="1" x14ac:dyDescent="0.3">
      <c r="A35" s="17">
        <f t="shared" si="5"/>
        <v>28</v>
      </c>
      <c r="B35" s="18" t="s">
        <v>130</v>
      </c>
      <c r="C35" s="19">
        <v>4337</v>
      </c>
      <c r="D35" s="29">
        <v>5.04</v>
      </c>
      <c r="E35" s="29">
        <v>5.89</v>
      </c>
      <c r="F35" s="29">
        <v>3.98</v>
      </c>
      <c r="G35" s="29">
        <v>3.3</v>
      </c>
      <c r="H35" s="29">
        <v>3.56</v>
      </c>
      <c r="I35" s="29">
        <v>3</v>
      </c>
      <c r="J35" s="30">
        <f t="shared" si="2"/>
        <v>10.174999999999999</v>
      </c>
      <c r="K35" s="31">
        <v>3.7650000000000001</v>
      </c>
      <c r="L35" s="31">
        <v>0.35</v>
      </c>
      <c r="M35" s="31">
        <v>4.5</v>
      </c>
      <c r="N35" s="31">
        <v>1.96</v>
      </c>
      <c r="O35" s="31">
        <v>-0.4</v>
      </c>
      <c r="P35" s="29">
        <v>0.11</v>
      </c>
      <c r="Q35" s="29">
        <v>0.37</v>
      </c>
      <c r="R35" s="29">
        <v>1.1200000000000001</v>
      </c>
      <c r="S35" s="29">
        <v>0.67</v>
      </c>
      <c r="T35" s="29">
        <v>0.5</v>
      </c>
      <c r="U35" s="29">
        <v>0</v>
      </c>
      <c r="V35" s="29">
        <v>0.36</v>
      </c>
      <c r="W35" s="29">
        <v>0.35</v>
      </c>
      <c r="X35" s="29">
        <v>0</v>
      </c>
      <c r="Y35" s="29">
        <v>0.14000000000000001</v>
      </c>
      <c r="Z35" s="29">
        <v>0.37</v>
      </c>
      <c r="AA35" s="29"/>
      <c r="AB35" s="21">
        <f>расчеты!H32</f>
        <v>1.0797343786027207</v>
      </c>
      <c r="AC35" s="21">
        <f>расчеты!H66</f>
        <v>0.16828433663822914</v>
      </c>
      <c r="AD35" s="21">
        <f>расчеты!H102</f>
        <v>0.55989039428176146</v>
      </c>
      <c r="AE35" s="64"/>
      <c r="AF35" s="22">
        <f>расчеты!H136</f>
        <v>0.324435071247406</v>
      </c>
      <c r="AG35" s="23"/>
      <c r="AH35" s="24"/>
      <c r="AI35" s="24"/>
      <c r="AJ35" s="20">
        <f t="shared" si="3"/>
        <v>2.1323441807701173</v>
      </c>
      <c r="AK35" s="25">
        <f t="shared" si="4"/>
        <v>38.934999999999995</v>
      </c>
    </row>
    <row r="36" spans="1:37" s="7" customFormat="1" ht="18" customHeight="1" thickBot="1" x14ac:dyDescent="0.3">
      <c r="A36" s="17">
        <f t="shared" si="5"/>
        <v>29</v>
      </c>
      <c r="B36" s="18" t="s">
        <v>73</v>
      </c>
      <c r="C36" s="19">
        <v>3392.2</v>
      </c>
      <c r="D36" s="29">
        <v>5.04</v>
      </c>
      <c r="E36" s="29">
        <v>4.9800000000000004</v>
      </c>
      <c r="F36" s="29">
        <v>7.22</v>
      </c>
      <c r="G36" s="29">
        <v>3.12</v>
      </c>
      <c r="H36" s="29">
        <v>3.28</v>
      </c>
      <c r="I36" s="29">
        <v>2.5099999999999998</v>
      </c>
      <c r="J36" s="30">
        <f t="shared" si="2"/>
        <v>8.5149999999999988</v>
      </c>
      <c r="K36" s="31">
        <v>2.5249999999999999</v>
      </c>
      <c r="L36" s="31">
        <v>0.34</v>
      </c>
      <c r="M36" s="31">
        <v>3.77</v>
      </c>
      <c r="N36" s="31">
        <v>2.1</v>
      </c>
      <c r="O36" s="31">
        <v>-0.22</v>
      </c>
      <c r="P36" s="29">
        <v>0.11</v>
      </c>
      <c r="Q36" s="29">
        <v>0.37</v>
      </c>
      <c r="R36" s="29">
        <v>1.27</v>
      </c>
      <c r="S36" s="29">
        <v>1.1200000000000001</v>
      </c>
      <c r="T36" s="29">
        <v>0.51</v>
      </c>
      <c r="U36" s="29">
        <v>0</v>
      </c>
      <c r="V36" s="29">
        <v>0</v>
      </c>
      <c r="W36" s="29">
        <v>0.35</v>
      </c>
      <c r="X36" s="29">
        <v>0</v>
      </c>
      <c r="Y36" s="29">
        <v>0</v>
      </c>
      <c r="Z36" s="29">
        <v>0.19</v>
      </c>
      <c r="AA36" s="29"/>
      <c r="AB36" s="21">
        <f>расчеты!H33</f>
        <v>1.0484311066564473</v>
      </c>
      <c r="AC36" s="21">
        <f>расчеты!H67</f>
        <v>0.16065695654737339</v>
      </c>
      <c r="AD36" s="21">
        <f>расчеты!H103</f>
        <v>0.53451371970992267</v>
      </c>
      <c r="AE36" s="64"/>
      <c r="AF36" s="22">
        <f>расчеты!H137</f>
        <v>0.3097302588290784</v>
      </c>
      <c r="AG36" s="23"/>
      <c r="AH36" s="24"/>
      <c r="AI36" s="24"/>
      <c r="AJ36" s="20">
        <f t="shared" si="3"/>
        <v>2.0533320417428218</v>
      </c>
      <c r="AK36" s="25">
        <f t="shared" si="4"/>
        <v>38.584999999999994</v>
      </c>
    </row>
    <row r="37" spans="1:37" s="7" customFormat="1" ht="18" customHeight="1" thickBot="1" x14ac:dyDescent="0.3">
      <c r="A37" s="17">
        <f t="shared" si="5"/>
        <v>30</v>
      </c>
      <c r="B37" s="18" t="s">
        <v>74</v>
      </c>
      <c r="C37" s="19">
        <v>3451.3</v>
      </c>
      <c r="D37" s="29">
        <v>5.04</v>
      </c>
      <c r="E37" s="29">
        <v>5.87</v>
      </c>
      <c r="F37" s="29">
        <v>2.99</v>
      </c>
      <c r="G37" s="29">
        <v>3.11</v>
      </c>
      <c r="H37" s="29">
        <v>3.36</v>
      </c>
      <c r="I37" s="29">
        <v>3.11</v>
      </c>
      <c r="J37" s="30">
        <f t="shared" si="2"/>
        <v>11.664999999999999</v>
      </c>
      <c r="K37" s="31">
        <v>4.3849999999999998</v>
      </c>
      <c r="L37" s="31">
        <v>0.8</v>
      </c>
      <c r="M37" s="31">
        <v>4.66</v>
      </c>
      <c r="N37" s="31">
        <v>2.12</v>
      </c>
      <c r="O37" s="31">
        <v>-0.3</v>
      </c>
      <c r="P37" s="29">
        <v>0.11</v>
      </c>
      <c r="Q37" s="29">
        <v>0.37</v>
      </c>
      <c r="R37" s="29">
        <v>1.06</v>
      </c>
      <c r="S37" s="29">
        <v>0.56000000000000005</v>
      </c>
      <c r="T37" s="29">
        <v>0.5</v>
      </c>
      <c r="U37" s="29">
        <v>0</v>
      </c>
      <c r="V37" s="29">
        <v>0.35</v>
      </c>
      <c r="W37" s="29">
        <v>0.34</v>
      </c>
      <c r="X37" s="29">
        <v>0</v>
      </c>
      <c r="Y37" s="29">
        <v>0.14000000000000001</v>
      </c>
      <c r="Z37" s="29">
        <v>0.37</v>
      </c>
      <c r="AA37" s="29"/>
      <c r="AB37" s="21">
        <f>расчеты!H34</f>
        <v>1.0281273722944977</v>
      </c>
      <c r="AC37" s="21">
        <f>расчеты!H68</f>
        <v>0.16233272332164686</v>
      </c>
      <c r="AD37" s="21">
        <f>расчеты!H104</f>
        <v>0.54008907947729823</v>
      </c>
      <c r="AE37" s="64"/>
      <c r="AF37" s="22">
        <f>расчеты!H138</f>
        <v>0.3129609665922985</v>
      </c>
      <c r="AG37" s="23"/>
      <c r="AH37" s="24"/>
      <c r="AI37" s="24"/>
      <c r="AJ37" s="20">
        <f t="shared" si="3"/>
        <v>2.0435101416857413</v>
      </c>
      <c r="AK37" s="25">
        <f t="shared" si="4"/>
        <v>38.945</v>
      </c>
    </row>
    <row r="38" spans="1:37" s="7" customFormat="1" ht="18" customHeight="1" x14ac:dyDescent="0.25">
      <c r="A38" s="17">
        <f t="shared" si="5"/>
        <v>31</v>
      </c>
      <c r="B38" s="18" t="s">
        <v>75</v>
      </c>
      <c r="C38" s="19">
        <v>3420.84</v>
      </c>
      <c r="D38" s="29">
        <v>5.04</v>
      </c>
      <c r="E38" s="29">
        <v>5.03</v>
      </c>
      <c r="F38" s="29">
        <v>7.78</v>
      </c>
      <c r="G38" s="29">
        <v>3.06</v>
      </c>
      <c r="H38" s="29">
        <v>3.22</v>
      </c>
      <c r="I38" s="29">
        <v>2.4500000000000002</v>
      </c>
      <c r="J38" s="30">
        <f t="shared" si="2"/>
        <v>8.2749999999999986</v>
      </c>
      <c r="K38" s="31">
        <v>2.5950000000000002</v>
      </c>
      <c r="L38" s="31">
        <v>0.42</v>
      </c>
      <c r="M38" s="31">
        <v>3.67</v>
      </c>
      <c r="N38" s="31">
        <v>2.0499999999999998</v>
      </c>
      <c r="O38" s="31">
        <v>-0.46</v>
      </c>
      <c r="P38" s="29">
        <v>0.11</v>
      </c>
      <c r="Q38" s="29">
        <v>0.37</v>
      </c>
      <c r="R38" s="29">
        <v>1.21</v>
      </c>
      <c r="S38" s="29">
        <v>0.7</v>
      </c>
      <c r="T38" s="29">
        <v>0.5</v>
      </c>
      <c r="U38" s="29">
        <v>0</v>
      </c>
      <c r="V38" s="29">
        <v>0.36</v>
      </c>
      <c r="W38" s="29">
        <v>0.34</v>
      </c>
      <c r="X38" s="29">
        <v>0</v>
      </c>
      <c r="Y38" s="29">
        <v>0.14000000000000001</v>
      </c>
      <c r="Z38" s="29">
        <v>0.37</v>
      </c>
      <c r="AA38" s="29"/>
      <c r="AB38" s="21">
        <f>расчеты!H35</f>
        <v>1.0309888799242293</v>
      </c>
      <c r="AC38" s="21">
        <f>расчеты!H69</f>
        <v>0.16873573508261128</v>
      </c>
      <c r="AD38" s="21">
        <f>расчеты!H105</f>
        <v>0.56139221945487072</v>
      </c>
      <c r="AE38" s="64"/>
      <c r="AF38" s="22">
        <f>расчеты!H139</f>
        <v>0.32530532149998237</v>
      </c>
      <c r="AG38" s="23"/>
      <c r="AH38" s="24"/>
      <c r="AI38" s="24"/>
      <c r="AJ38" s="20">
        <f t="shared" si="3"/>
        <v>2.0864221559616936</v>
      </c>
      <c r="AK38" s="25">
        <f t="shared" si="4"/>
        <v>38.954999999999998</v>
      </c>
    </row>
    <row r="39" spans="1:37" s="7" customFormat="1" ht="18" hidden="1" customHeight="1" x14ac:dyDescent="0.25">
      <c r="A39" s="17">
        <f t="shared" si="5"/>
        <v>32</v>
      </c>
      <c r="B39" s="18" t="s">
        <v>76</v>
      </c>
      <c r="C39" s="19">
        <f>'[1]Тех.хар-ка'!P41</f>
        <v>933</v>
      </c>
      <c r="D39" s="29">
        <v>5.04</v>
      </c>
      <c r="E39" s="29">
        <v>5.29</v>
      </c>
      <c r="F39" s="29">
        <v>2.38</v>
      </c>
      <c r="G39" s="29">
        <v>3.04</v>
      </c>
      <c r="H39" s="29">
        <v>3.31</v>
      </c>
      <c r="I39" s="29">
        <v>3</v>
      </c>
      <c r="J39" s="30">
        <f>SUM(K39:O39)</f>
        <v>13.459999999999999</v>
      </c>
      <c r="K39" s="31">
        <v>6.61</v>
      </c>
      <c r="L39" s="31"/>
      <c r="M39" s="31">
        <v>4.5</v>
      </c>
      <c r="N39" s="31">
        <v>2.35</v>
      </c>
      <c r="O39" s="31"/>
      <c r="P39" s="29">
        <v>0.11</v>
      </c>
      <c r="Q39" s="29">
        <v>0.37</v>
      </c>
      <c r="R39" s="29">
        <v>0.76</v>
      </c>
      <c r="S39" s="29">
        <v>0.48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29">
        <v>0.68</v>
      </c>
      <c r="AA39" s="29"/>
      <c r="AB39" s="21"/>
      <c r="AC39" s="21" t="e">
        <f>расчеты!#REF!</f>
        <v>#REF!</v>
      </c>
      <c r="AD39" s="21" t="e">
        <f>расчеты!#REF!</f>
        <v>#REF!</v>
      </c>
      <c r="AE39" s="64"/>
      <c r="AF39" s="22" t="e">
        <f>расчеты!#REF!</f>
        <v>#REF!</v>
      </c>
      <c r="AG39" s="23"/>
      <c r="AH39" s="24"/>
      <c r="AI39" s="24"/>
      <c r="AJ39" s="20" t="e">
        <f t="shared" si="3"/>
        <v>#REF!</v>
      </c>
      <c r="AK39" s="25">
        <f t="shared" si="4"/>
        <v>37.919999999999987</v>
      </c>
    </row>
    <row r="40" spans="1:37" s="7" customFormat="1" x14ac:dyDescent="0.25">
      <c r="AJ40" s="26"/>
      <c r="AK40" s="27"/>
    </row>
    <row r="41" spans="1:37" s="87" customFormat="1" ht="16.5" x14ac:dyDescent="0.3">
      <c r="A41" s="85" t="s">
        <v>91</v>
      </c>
      <c r="B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8"/>
      <c r="P41" s="86"/>
      <c r="Q41" s="86"/>
      <c r="R41" s="86"/>
      <c r="S41" s="86"/>
      <c r="T41" s="86"/>
      <c r="U41" s="89"/>
      <c r="V41" s="86"/>
      <c r="W41" s="86"/>
      <c r="X41" s="86"/>
      <c r="Y41" s="86"/>
      <c r="Z41" s="86"/>
      <c r="AA41" s="86"/>
      <c r="AB41" s="89"/>
      <c r="AC41" s="86"/>
      <c r="AD41" s="86"/>
      <c r="AE41" s="86"/>
    </row>
    <row r="42" spans="1:37" s="87" customFormat="1" ht="16.5" x14ac:dyDescent="0.3">
      <c r="A42" s="86"/>
      <c r="B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8"/>
      <c r="P42" s="86"/>
      <c r="Q42" s="86"/>
      <c r="R42" s="86"/>
      <c r="S42" s="86"/>
      <c r="T42" s="86"/>
      <c r="U42" s="89"/>
      <c r="V42" s="86"/>
      <c r="W42" s="86"/>
      <c r="X42" s="86"/>
      <c r="Y42" s="86"/>
      <c r="Z42" s="86"/>
      <c r="AA42" s="86"/>
      <c r="AB42" s="89"/>
      <c r="AC42" s="86"/>
      <c r="AD42" s="86"/>
      <c r="AE42" s="86"/>
    </row>
    <row r="43" spans="1:37" s="87" customFormat="1" ht="13.9" customHeight="1" x14ac:dyDescent="0.3">
      <c r="A43" s="91" t="s">
        <v>136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86"/>
      <c r="Q43" s="86"/>
      <c r="R43" s="86"/>
      <c r="S43" s="86"/>
      <c r="T43" s="86"/>
      <c r="U43" s="89"/>
      <c r="V43" s="86"/>
      <c r="W43" s="86"/>
      <c r="X43" s="86"/>
      <c r="Y43" s="86"/>
      <c r="Z43" s="86"/>
      <c r="AA43" s="86"/>
      <c r="AB43" s="89"/>
      <c r="AC43" s="86"/>
      <c r="AD43" s="86"/>
      <c r="AE43" s="86"/>
    </row>
    <row r="44" spans="1:37" s="87" customFormat="1" ht="16.5" x14ac:dyDescent="0.3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86"/>
      <c r="Q44" s="86"/>
      <c r="R44" s="86"/>
      <c r="S44" s="86"/>
      <c r="T44" s="86"/>
      <c r="U44" s="89"/>
      <c r="V44" s="86"/>
      <c r="W44" s="86"/>
      <c r="X44" s="86"/>
      <c r="Y44" s="86"/>
      <c r="Z44" s="86"/>
      <c r="AA44" s="86"/>
      <c r="AB44" s="89"/>
      <c r="AC44" s="86"/>
      <c r="AD44" s="86"/>
      <c r="AE44" s="86"/>
    </row>
    <row r="45" spans="1:37" s="87" customFormat="1" ht="16.5" x14ac:dyDescent="0.3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86"/>
      <c r="Q45" s="86"/>
      <c r="R45" s="86"/>
      <c r="S45" s="86"/>
      <c r="T45" s="86"/>
      <c r="U45" s="89"/>
      <c r="V45" s="86"/>
      <c r="W45" s="86"/>
      <c r="X45" s="86"/>
      <c r="Y45" s="86"/>
      <c r="Z45" s="86"/>
      <c r="AA45" s="86"/>
      <c r="AB45" s="89"/>
      <c r="AC45" s="86"/>
      <c r="AD45" s="86"/>
      <c r="AE45" s="86"/>
    </row>
    <row r="46" spans="1:37" s="87" customFormat="1" ht="31.15" customHeight="1" x14ac:dyDescent="0.3">
      <c r="A46" s="86"/>
      <c r="B46" s="86"/>
      <c r="C46" s="92" t="s">
        <v>93</v>
      </c>
      <c r="D46" s="92"/>
      <c r="E46" s="92"/>
      <c r="F46" s="86" t="s">
        <v>137</v>
      </c>
      <c r="G46" s="86"/>
      <c r="H46" s="92" t="s">
        <v>138</v>
      </c>
      <c r="I46" s="92"/>
      <c r="J46" s="92"/>
      <c r="K46" s="86"/>
      <c r="L46" s="86"/>
      <c r="M46" s="86"/>
      <c r="N46" s="86"/>
      <c r="O46" s="88"/>
      <c r="P46" s="86"/>
      <c r="Q46" s="86"/>
      <c r="R46" s="86"/>
      <c r="S46" s="86"/>
      <c r="T46" s="86"/>
      <c r="U46" s="89"/>
      <c r="V46" s="86"/>
      <c r="W46" s="86"/>
      <c r="X46" s="86"/>
      <c r="Y46" s="86"/>
      <c r="Z46" s="86"/>
      <c r="AA46" s="86"/>
      <c r="AB46" s="89"/>
      <c r="AC46" s="86"/>
      <c r="AD46" s="86"/>
      <c r="AE46" s="86"/>
    </row>
    <row r="47" spans="1:37" s="87" customFormat="1" ht="16.5" x14ac:dyDescent="0.3">
      <c r="A47" s="86"/>
      <c r="B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8"/>
      <c r="P47" s="86"/>
      <c r="Q47" s="86"/>
      <c r="R47" s="86"/>
      <c r="S47" s="86"/>
      <c r="T47" s="86"/>
      <c r="U47" s="89"/>
      <c r="V47" s="86"/>
      <c r="W47" s="86"/>
      <c r="X47" s="86"/>
      <c r="Y47" s="86"/>
      <c r="Z47" s="86"/>
      <c r="AA47" s="86"/>
      <c r="AB47" s="89"/>
      <c r="AC47" s="86"/>
      <c r="AD47" s="86"/>
      <c r="AE47" s="86"/>
    </row>
    <row r="48" spans="1:37" s="7" customFormat="1" x14ac:dyDescent="0.25">
      <c r="AK48" s="9"/>
    </row>
    <row r="49" spans="37:37" s="7" customFormat="1" x14ac:dyDescent="0.25">
      <c r="AK49" s="9"/>
    </row>
    <row r="50" spans="37:37" s="7" customFormat="1" x14ac:dyDescent="0.25">
      <c r="AK50" s="9"/>
    </row>
    <row r="51" spans="37:37" s="7" customFormat="1" x14ac:dyDescent="0.25">
      <c r="AK51" s="9"/>
    </row>
    <row r="52" spans="37:37" s="7" customFormat="1" x14ac:dyDescent="0.25">
      <c r="AK52" s="9"/>
    </row>
    <row r="53" spans="37:37" s="7" customFormat="1" x14ac:dyDescent="0.25">
      <c r="AK53" s="9"/>
    </row>
    <row r="54" spans="37:37" s="7" customFormat="1" x14ac:dyDescent="0.25">
      <c r="AK54" s="9"/>
    </row>
    <row r="55" spans="37:37" s="7" customFormat="1" x14ac:dyDescent="0.25">
      <c r="AK55" s="9"/>
    </row>
    <row r="56" spans="37:37" s="7" customFormat="1" x14ac:dyDescent="0.25">
      <c r="AK56" s="9"/>
    </row>
    <row r="57" spans="37:37" s="7" customFormat="1" x14ac:dyDescent="0.25">
      <c r="AK57" s="9"/>
    </row>
    <row r="58" spans="37:37" s="7" customFormat="1" x14ac:dyDescent="0.25">
      <c r="AK58" s="9"/>
    </row>
    <row r="59" spans="37:37" s="7" customFormat="1" x14ac:dyDescent="0.25">
      <c r="AK59" s="9"/>
    </row>
    <row r="60" spans="37:37" s="7" customFormat="1" x14ac:dyDescent="0.25">
      <c r="AK60" s="9"/>
    </row>
    <row r="61" spans="37:37" s="7" customFormat="1" x14ac:dyDescent="0.25">
      <c r="AK61" s="9"/>
    </row>
    <row r="62" spans="37:37" s="7" customFormat="1" x14ac:dyDescent="0.25">
      <c r="AK62" s="9"/>
    </row>
    <row r="63" spans="37:37" s="7" customFormat="1" x14ac:dyDescent="0.25">
      <c r="AK63" s="9"/>
    </row>
    <row r="64" spans="37:37" s="7" customFormat="1" x14ac:dyDescent="0.25">
      <c r="AK64" s="9"/>
    </row>
    <row r="65" spans="37:37" s="7" customFormat="1" x14ac:dyDescent="0.25">
      <c r="AK65" s="9"/>
    </row>
    <row r="66" spans="37:37" s="7" customFormat="1" x14ac:dyDescent="0.25">
      <c r="AK66" s="9"/>
    </row>
    <row r="67" spans="37:37" s="7" customFormat="1" x14ac:dyDescent="0.25">
      <c r="AK67" s="9"/>
    </row>
    <row r="68" spans="37:37" s="7" customFormat="1" x14ac:dyDescent="0.25">
      <c r="AK68" s="9"/>
    </row>
    <row r="69" spans="37:37" s="7" customFormat="1" x14ac:dyDescent="0.25">
      <c r="AK69" s="9"/>
    </row>
    <row r="70" spans="37:37" s="7" customFormat="1" x14ac:dyDescent="0.25">
      <c r="AK70" s="9"/>
    </row>
    <row r="71" spans="37:37" s="7" customFormat="1" x14ac:dyDescent="0.25">
      <c r="AK71" s="9"/>
    </row>
    <row r="72" spans="37:37" s="7" customFormat="1" x14ac:dyDescent="0.25">
      <c r="AK72" s="9"/>
    </row>
    <row r="73" spans="37:37" s="7" customFormat="1" x14ac:dyDescent="0.25">
      <c r="AK73" s="9"/>
    </row>
    <row r="74" spans="37:37" s="7" customFormat="1" x14ac:dyDescent="0.25">
      <c r="AK74" s="9"/>
    </row>
    <row r="75" spans="37:37" s="7" customFormat="1" x14ac:dyDescent="0.25">
      <c r="AK75" s="9"/>
    </row>
    <row r="76" spans="37:37" s="7" customFormat="1" x14ac:dyDescent="0.25">
      <c r="AK76" s="9"/>
    </row>
    <row r="77" spans="37:37" s="7" customFormat="1" x14ac:dyDescent="0.25">
      <c r="AK77" s="9"/>
    </row>
    <row r="78" spans="37:37" s="7" customFormat="1" x14ac:dyDescent="0.25">
      <c r="AK78" s="9"/>
    </row>
    <row r="79" spans="37:37" s="7" customFormat="1" x14ac:dyDescent="0.25">
      <c r="AK79" s="9"/>
    </row>
    <row r="80" spans="37:37" s="7" customFormat="1" x14ac:dyDescent="0.25">
      <c r="AK80" s="9"/>
    </row>
    <row r="81" spans="37:37" s="7" customFormat="1" x14ac:dyDescent="0.25">
      <c r="AK81" s="9"/>
    </row>
    <row r="82" spans="37:37" s="7" customFormat="1" x14ac:dyDescent="0.25">
      <c r="AK82" s="9"/>
    </row>
    <row r="83" spans="37:37" s="7" customFormat="1" x14ac:dyDescent="0.25">
      <c r="AK83" s="9"/>
    </row>
    <row r="84" spans="37:37" s="7" customFormat="1" x14ac:dyDescent="0.25">
      <c r="AK84" s="9"/>
    </row>
    <row r="85" spans="37:37" s="7" customFormat="1" x14ac:dyDescent="0.25">
      <c r="AK85" s="9"/>
    </row>
    <row r="86" spans="37:37" s="7" customFormat="1" x14ac:dyDescent="0.25">
      <c r="AK86" s="9"/>
    </row>
    <row r="87" spans="37:37" s="7" customFormat="1" x14ac:dyDescent="0.25">
      <c r="AK87" s="9"/>
    </row>
    <row r="88" spans="37:37" s="7" customFormat="1" x14ac:dyDescent="0.25">
      <c r="AK88" s="9"/>
    </row>
    <row r="89" spans="37:37" s="7" customFormat="1" x14ac:dyDescent="0.25">
      <c r="AK89" s="9"/>
    </row>
    <row r="90" spans="37:37" s="7" customFormat="1" x14ac:dyDescent="0.25">
      <c r="AK90" s="9"/>
    </row>
    <row r="91" spans="37:37" s="7" customFormat="1" x14ac:dyDescent="0.25">
      <c r="AK91" s="9"/>
    </row>
    <row r="92" spans="37:37" s="7" customFormat="1" x14ac:dyDescent="0.25">
      <c r="AK92" s="9"/>
    </row>
    <row r="93" spans="37:37" s="7" customFormat="1" x14ac:dyDescent="0.25">
      <c r="AK93" s="9"/>
    </row>
    <row r="94" spans="37:37" s="7" customFormat="1" x14ac:dyDescent="0.25">
      <c r="AK94" s="9"/>
    </row>
    <row r="95" spans="37:37" s="7" customFormat="1" x14ac:dyDescent="0.25">
      <c r="AK95" s="9"/>
    </row>
    <row r="96" spans="37:37" s="7" customFormat="1" x14ac:dyDescent="0.25">
      <c r="AK96" s="9"/>
    </row>
    <row r="97" spans="37:37" s="7" customFormat="1" x14ac:dyDescent="0.25">
      <c r="AK97" s="9"/>
    </row>
    <row r="98" spans="37:37" s="7" customFormat="1" x14ac:dyDescent="0.25">
      <c r="AK98" s="9"/>
    </row>
    <row r="99" spans="37:37" s="7" customFormat="1" x14ac:dyDescent="0.25">
      <c r="AK99" s="9"/>
    </row>
    <row r="100" spans="37:37" s="7" customFormat="1" x14ac:dyDescent="0.25">
      <c r="AK100" s="9"/>
    </row>
    <row r="101" spans="37:37" s="7" customFormat="1" x14ac:dyDescent="0.25">
      <c r="AK101" s="9"/>
    </row>
    <row r="102" spans="37:37" s="7" customFormat="1" x14ac:dyDescent="0.25">
      <c r="AK102" s="9"/>
    </row>
    <row r="103" spans="37:37" s="7" customFormat="1" x14ac:dyDescent="0.25">
      <c r="AK103" s="9"/>
    </row>
    <row r="104" spans="37:37" s="7" customFormat="1" x14ac:dyDescent="0.25">
      <c r="AK104" s="9"/>
    </row>
    <row r="105" spans="37:37" s="7" customFormat="1" x14ac:dyDescent="0.25">
      <c r="AK105" s="9"/>
    </row>
    <row r="106" spans="37:37" s="7" customFormat="1" x14ac:dyDescent="0.25">
      <c r="AK106" s="9"/>
    </row>
    <row r="107" spans="37:37" s="7" customFormat="1" x14ac:dyDescent="0.25">
      <c r="AK107" s="9"/>
    </row>
    <row r="108" spans="37:37" s="7" customFormat="1" x14ac:dyDescent="0.25">
      <c r="AK108" s="9"/>
    </row>
    <row r="109" spans="37:37" s="7" customFormat="1" x14ac:dyDescent="0.25">
      <c r="AK109" s="9"/>
    </row>
    <row r="110" spans="37:37" s="7" customFormat="1" x14ac:dyDescent="0.25">
      <c r="AK110" s="9"/>
    </row>
    <row r="111" spans="37:37" s="7" customFormat="1" x14ac:dyDescent="0.25">
      <c r="AK111" s="9"/>
    </row>
    <row r="112" spans="37:37" s="7" customFormat="1" x14ac:dyDescent="0.25">
      <c r="AK112" s="9"/>
    </row>
    <row r="113" spans="37:37" s="7" customFormat="1" x14ac:dyDescent="0.25">
      <c r="AK113" s="9"/>
    </row>
    <row r="114" spans="37:37" s="7" customFormat="1" x14ac:dyDescent="0.25">
      <c r="AK114" s="9"/>
    </row>
    <row r="115" spans="37:37" s="7" customFormat="1" x14ac:dyDescent="0.25">
      <c r="AK115" s="9"/>
    </row>
    <row r="116" spans="37:37" s="7" customFormat="1" x14ac:dyDescent="0.25">
      <c r="AK116" s="9"/>
    </row>
    <row r="117" spans="37:37" s="7" customFormat="1" x14ac:dyDescent="0.25">
      <c r="AK117" s="9"/>
    </row>
    <row r="118" spans="37:37" s="7" customFormat="1" x14ac:dyDescent="0.25">
      <c r="AK118" s="9"/>
    </row>
    <row r="119" spans="37:37" s="7" customFormat="1" x14ac:dyDescent="0.25">
      <c r="AK119" s="9"/>
    </row>
    <row r="120" spans="37:37" s="7" customFormat="1" x14ac:dyDescent="0.25">
      <c r="AK120" s="9"/>
    </row>
    <row r="121" spans="37:37" s="7" customFormat="1" x14ac:dyDescent="0.25">
      <c r="AK121" s="9"/>
    </row>
    <row r="122" spans="37:37" s="7" customFormat="1" x14ac:dyDescent="0.25">
      <c r="AK122" s="9"/>
    </row>
    <row r="123" spans="37:37" s="7" customFormat="1" x14ac:dyDescent="0.25">
      <c r="AK123" s="9"/>
    </row>
    <row r="124" spans="37:37" s="7" customFormat="1" x14ac:dyDescent="0.25">
      <c r="AK124" s="9"/>
    </row>
    <row r="125" spans="37:37" s="7" customFormat="1" x14ac:dyDescent="0.25">
      <c r="AK125" s="9"/>
    </row>
    <row r="126" spans="37:37" s="7" customFormat="1" x14ac:dyDescent="0.25">
      <c r="AK126" s="9"/>
    </row>
    <row r="127" spans="37:37" s="7" customFormat="1" x14ac:dyDescent="0.25">
      <c r="AK127" s="9"/>
    </row>
    <row r="128" spans="37:37" s="7" customFormat="1" x14ac:dyDescent="0.25">
      <c r="AK128" s="9"/>
    </row>
    <row r="129" spans="37:37" s="7" customFormat="1" x14ac:dyDescent="0.25">
      <c r="AK129" s="9"/>
    </row>
    <row r="130" spans="37:37" s="7" customFormat="1" x14ac:dyDescent="0.25">
      <c r="AK130" s="9"/>
    </row>
    <row r="131" spans="37:37" s="7" customFormat="1" x14ac:dyDescent="0.25">
      <c r="AK131" s="9"/>
    </row>
    <row r="132" spans="37:37" s="7" customFormat="1" x14ac:dyDescent="0.25">
      <c r="AK132" s="9"/>
    </row>
    <row r="133" spans="37:37" s="7" customFormat="1" x14ac:dyDescent="0.25">
      <c r="AK133" s="9"/>
    </row>
    <row r="134" spans="37:37" s="7" customFormat="1" x14ac:dyDescent="0.25">
      <c r="AK134" s="9"/>
    </row>
    <row r="135" spans="37:37" s="7" customFormat="1" x14ac:dyDescent="0.25">
      <c r="AK135" s="9"/>
    </row>
    <row r="136" spans="37:37" s="7" customFormat="1" x14ac:dyDescent="0.25">
      <c r="AK136" s="9"/>
    </row>
    <row r="137" spans="37:37" s="7" customFormat="1" x14ac:dyDescent="0.25">
      <c r="AK137" s="9"/>
    </row>
    <row r="138" spans="37:37" s="7" customFormat="1" x14ac:dyDescent="0.25">
      <c r="AK138" s="9"/>
    </row>
    <row r="139" spans="37:37" s="7" customFormat="1" x14ac:dyDescent="0.25">
      <c r="AK139" s="9"/>
    </row>
    <row r="140" spans="37:37" s="7" customFormat="1" x14ac:dyDescent="0.25">
      <c r="AK140" s="9"/>
    </row>
    <row r="141" spans="37:37" s="7" customFormat="1" x14ac:dyDescent="0.25">
      <c r="AK141" s="9"/>
    </row>
    <row r="142" spans="37:37" s="7" customFormat="1" x14ac:dyDescent="0.25">
      <c r="AK142" s="9"/>
    </row>
    <row r="143" spans="37:37" s="7" customFormat="1" x14ac:dyDescent="0.25">
      <c r="AK143" s="9"/>
    </row>
    <row r="144" spans="37:37" s="7" customFormat="1" x14ac:dyDescent="0.25">
      <c r="AK144" s="9"/>
    </row>
    <row r="145" spans="37:37" s="7" customFormat="1" x14ac:dyDescent="0.25">
      <c r="AK145" s="9"/>
    </row>
    <row r="146" spans="37:37" s="7" customFormat="1" x14ac:dyDescent="0.25">
      <c r="AK146" s="9"/>
    </row>
    <row r="147" spans="37:37" s="7" customFormat="1" x14ac:dyDescent="0.25">
      <c r="AK147" s="9"/>
    </row>
    <row r="148" spans="37:37" s="7" customFormat="1" x14ac:dyDescent="0.25">
      <c r="AK148" s="9"/>
    </row>
    <row r="149" spans="37:37" s="7" customFormat="1" x14ac:dyDescent="0.25">
      <c r="AK149" s="9"/>
    </row>
    <row r="150" spans="37:37" s="7" customFormat="1" x14ac:dyDescent="0.25">
      <c r="AK150" s="9"/>
    </row>
    <row r="151" spans="37:37" s="7" customFormat="1" x14ac:dyDescent="0.25">
      <c r="AK151" s="9"/>
    </row>
    <row r="152" spans="37:37" s="7" customFormat="1" x14ac:dyDescent="0.25">
      <c r="AK152" s="9"/>
    </row>
    <row r="153" spans="37:37" s="7" customFormat="1" x14ac:dyDescent="0.25">
      <c r="AK153" s="9"/>
    </row>
    <row r="154" spans="37:37" s="7" customFormat="1" x14ac:dyDescent="0.25">
      <c r="AK154" s="9"/>
    </row>
    <row r="155" spans="37:37" s="7" customFormat="1" x14ac:dyDescent="0.25">
      <c r="AK155" s="9"/>
    </row>
    <row r="156" spans="37:37" s="7" customFormat="1" x14ac:dyDescent="0.25">
      <c r="AK156" s="9"/>
    </row>
    <row r="157" spans="37:37" s="7" customFormat="1" x14ac:dyDescent="0.25">
      <c r="AK157" s="9"/>
    </row>
    <row r="158" spans="37:37" s="7" customFormat="1" x14ac:dyDescent="0.25">
      <c r="AK158" s="9"/>
    </row>
    <row r="159" spans="37:37" s="7" customFormat="1" x14ac:dyDescent="0.25">
      <c r="AK159" s="9"/>
    </row>
    <row r="160" spans="37:37" s="7" customFormat="1" x14ac:dyDescent="0.25">
      <c r="AK160" s="9"/>
    </row>
    <row r="161" spans="37:37" s="7" customFormat="1" x14ac:dyDescent="0.25">
      <c r="AK161" s="9"/>
    </row>
    <row r="162" spans="37:37" s="7" customFormat="1" x14ac:dyDescent="0.25">
      <c r="AK162" s="9"/>
    </row>
    <row r="163" spans="37:37" s="7" customFormat="1" x14ac:dyDescent="0.25">
      <c r="AK163" s="9"/>
    </row>
    <row r="164" spans="37:37" s="7" customFormat="1" x14ac:dyDescent="0.25">
      <c r="AK164" s="9"/>
    </row>
    <row r="165" spans="37:37" s="7" customFormat="1" x14ac:dyDescent="0.25">
      <c r="AK165" s="9"/>
    </row>
    <row r="166" spans="37:37" s="7" customFormat="1" x14ac:dyDescent="0.25">
      <c r="AK166" s="9"/>
    </row>
    <row r="167" spans="37:37" s="7" customFormat="1" x14ac:dyDescent="0.25">
      <c r="AK167" s="9"/>
    </row>
    <row r="168" spans="37:37" s="7" customFormat="1" x14ac:dyDescent="0.25">
      <c r="AK168" s="9"/>
    </row>
    <row r="169" spans="37:37" s="7" customFormat="1" x14ac:dyDescent="0.25">
      <c r="AK169" s="9"/>
    </row>
    <row r="170" spans="37:37" s="7" customFormat="1" x14ac:dyDescent="0.25">
      <c r="AK170" s="9"/>
    </row>
    <row r="171" spans="37:37" s="7" customFormat="1" x14ac:dyDescent="0.25">
      <c r="AK171" s="9"/>
    </row>
    <row r="172" spans="37:37" s="7" customFormat="1" x14ac:dyDescent="0.25">
      <c r="AK172" s="9"/>
    </row>
    <row r="173" spans="37:37" s="7" customFormat="1" x14ac:dyDescent="0.25">
      <c r="AK173" s="9"/>
    </row>
    <row r="174" spans="37:37" s="7" customFormat="1" x14ac:dyDescent="0.25">
      <c r="AK174" s="9"/>
    </row>
    <row r="175" spans="37:37" s="7" customFormat="1" x14ac:dyDescent="0.25">
      <c r="AK175" s="9"/>
    </row>
    <row r="176" spans="37:37" s="7" customFormat="1" x14ac:dyDescent="0.25">
      <c r="AK176" s="9"/>
    </row>
    <row r="177" spans="37:37" s="7" customFormat="1" x14ac:dyDescent="0.25">
      <c r="AK177" s="9"/>
    </row>
    <row r="178" spans="37:37" s="7" customFormat="1" x14ac:dyDescent="0.25">
      <c r="AK178" s="9"/>
    </row>
    <row r="179" spans="37:37" s="7" customFormat="1" x14ac:dyDescent="0.25">
      <c r="AK179" s="9"/>
    </row>
    <row r="180" spans="37:37" s="7" customFormat="1" x14ac:dyDescent="0.25">
      <c r="AK180" s="9"/>
    </row>
    <row r="181" spans="37:37" s="7" customFormat="1" x14ac:dyDescent="0.25">
      <c r="AK181" s="9"/>
    </row>
    <row r="182" spans="37:37" s="7" customFormat="1" x14ac:dyDescent="0.25">
      <c r="AK182" s="9"/>
    </row>
  </sheetData>
  <mergeCells count="45">
    <mergeCell ref="Y5:Y6"/>
    <mergeCell ref="O5:O6"/>
    <mergeCell ref="N5:N6"/>
    <mergeCell ref="U5:U6"/>
    <mergeCell ref="V5:V6"/>
    <mergeCell ref="W5:W6"/>
    <mergeCell ref="X5:X6"/>
    <mergeCell ref="AG4:AI4"/>
    <mergeCell ref="AJ4:AJ6"/>
    <mergeCell ref="AK4:AK6"/>
    <mergeCell ref="AH5:AH6"/>
    <mergeCell ref="AI5:AI6"/>
    <mergeCell ref="AG5:AG6"/>
    <mergeCell ref="AA5:AA6"/>
    <mergeCell ref="R5:R6"/>
    <mergeCell ref="D4:AA4"/>
    <mergeCell ref="AB4:AF4"/>
    <mergeCell ref="AB5:AB6"/>
    <mergeCell ref="AC5:AC6"/>
    <mergeCell ref="AD5:AD6"/>
    <mergeCell ref="AF5:AF6"/>
    <mergeCell ref="AE5:AE6"/>
    <mergeCell ref="D5:D6"/>
    <mergeCell ref="F5:F6"/>
    <mergeCell ref="G5:G6"/>
    <mergeCell ref="H5:H6"/>
    <mergeCell ref="K5:K6"/>
    <mergeCell ref="J5:J6"/>
    <mergeCell ref="Z5:Z6"/>
    <mergeCell ref="A43:O45"/>
    <mergeCell ref="C46:E46"/>
    <mergeCell ref="H46:J46"/>
    <mergeCell ref="AJ2:AL2"/>
    <mergeCell ref="AD2:AF2"/>
    <mergeCell ref="A4:A6"/>
    <mergeCell ref="B4:B6"/>
    <mergeCell ref="C4:C6"/>
    <mergeCell ref="E5:E6"/>
    <mergeCell ref="I5:I6"/>
    <mergeCell ref="P5:P6"/>
    <mergeCell ref="Q5:Q6"/>
    <mergeCell ref="S5:S6"/>
    <mergeCell ref="T5:T6"/>
    <mergeCell ref="L5:L6"/>
    <mergeCell ref="M5:M6"/>
  </mergeCells>
  <pageMargins left="0.11811023622047245" right="0.11811023622047245" top="0" bottom="0" header="0.31496062992125984" footer="0.31496062992125984"/>
  <pageSetup paperSize="9" scale="4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view="pageBreakPreview" zoomScale="75" zoomScaleNormal="100" zoomScaleSheetLayoutView="75" workbookViewId="0">
      <selection activeCell="I17" sqref="I17"/>
    </sheetView>
  </sheetViews>
  <sheetFormatPr defaultColWidth="8.85546875" defaultRowHeight="12.75" x14ac:dyDescent="0.2"/>
  <cols>
    <col min="1" max="1" width="3.42578125" style="41" customWidth="1"/>
    <col min="2" max="2" width="4.85546875" style="41" customWidth="1"/>
    <col min="3" max="3" width="43.7109375" style="41" customWidth="1"/>
    <col min="4" max="4" width="9" style="41" bestFit="1" customWidth="1"/>
    <col min="5" max="5" width="12.5703125" style="42" customWidth="1"/>
    <col min="6" max="16384" width="8.85546875" style="41"/>
  </cols>
  <sheetData>
    <row r="1" spans="2:9" x14ac:dyDescent="0.2">
      <c r="F1" s="43" t="s">
        <v>85</v>
      </c>
    </row>
    <row r="2" spans="2:9" ht="15" x14ac:dyDescent="0.35">
      <c r="F2" s="90" t="s">
        <v>139</v>
      </c>
    </row>
    <row r="3" spans="2:9" ht="13.5" thickBot="1" x14ac:dyDescent="0.25">
      <c r="I3" s="41" t="s">
        <v>104</v>
      </c>
    </row>
    <row r="4" spans="2:9" ht="24" customHeight="1" x14ac:dyDescent="0.2">
      <c r="B4" s="119" t="str">
        <f>CONCATENATE($I$4,$I$3)</f>
        <v>Размер платы на содержание общего имущества многоквартирного дома№ 18 ул. Менделеева</v>
      </c>
      <c r="C4" s="120"/>
      <c r="D4" s="120"/>
      <c r="E4" s="121"/>
      <c r="I4" s="41" t="s">
        <v>96</v>
      </c>
    </row>
    <row r="5" spans="2:9" ht="13.9" customHeight="1" x14ac:dyDescent="0.2">
      <c r="B5" s="122" t="s">
        <v>1</v>
      </c>
      <c r="C5" s="123" t="s">
        <v>87</v>
      </c>
      <c r="D5" s="124" t="s">
        <v>88</v>
      </c>
      <c r="E5" s="125" t="s">
        <v>89</v>
      </c>
      <c r="I5" s="41" t="s">
        <v>97</v>
      </c>
    </row>
    <row r="6" spans="2:9" x14ac:dyDescent="0.2">
      <c r="B6" s="122"/>
      <c r="C6" s="123"/>
      <c r="D6" s="124"/>
      <c r="E6" s="125"/>
    </row>
    <row r="7" spans="2:9" ht="41.45" customHeight="1" x14ac:dyDescent="0.2">
      <c r="B7" s="44">
        <v>1</v>
      </c>
      <c r="C7" s="45" t="str">
        <f>'ЖЭУ 3'!D5</f>
        <v xml:space="preserve">Управление  многоквартирным домом   </v>
      </c>
      <c r="D7" s="46" t="s">
        <v>90</v>
      </c>
      <c r="E7" s="47">
        <f ca="1">SUMIF('ЖЭУ 3'!$D$5:$AF$6,'Ленина 1'!$C7,'ЖЭУ 3'!$D$15:$AF$15)</f>
        <v>5.04</v>
      </c>
    </row>
    <row r="8" spans="2:9" ht="41.45" customHeight="1" x14ac:dyDescent="0.2">
      <c r="B8" s="44">
        <v>2</v>
      </c>
      <c r="C8" s="45" t="str">
        <f>'ЖЭУ 3'!E5</f>
        <v>Уборка и санитарно-гигиеническая очистка 
лестничных клеток</v>
      </c>
      <c r="D8" s="46" t="s">
        <v>90</v>
      </c>
      <c r="E8" s="47">
        <f ca="1">SUMIF('ЖЭУ 3'!$D$5:$AF$6,'Ленина 1'!$C8,'ЖЭУ 3'!$D$15:$AF$15)</f>
        <v>5.58</v>
      </c>
    </row>
    <row r="9" spans="2:9" ht="41.45" customHeight="1" x14ac:dyDescent="0.2">
      <c r="B9" s="44">
        <v>3</v>
      </c>
      <c r="C9" s="45" t="str">
        <f>'ЖЭУ 3'!F5</f>
        <v>Уборка и санитарно-гигиеническая очистка земельного участка и контейнерных площадок</v>
      </c>
      <c r="D9" s="46" t="s">
        <v>90</v>
      </c>
      <c r="E9" s="47">
        <f ca="1">SUMIF('ЖЭУ 3'!$D$5:$AF$6,'Ленина 1'!$C9,'ЖЭУ 3'!$D$15:$AF$15)</f>
        <v>5.86</v>
      </c>
    </row>
    <row r="10" spans="2:9" ht="41.45" customHeight="1" x14ac:dyDescent="0.2">
      <c r="B10" s="44">
        <v>4</v>
      </c>
      <c r="C10" s="45" t="str">
        <f>'ЖЭУ 3'!G5</f>
        <v>Содержание и техническое обслуживание конструктивных элементов</v>
      </c>
      <c r="D10" s="46" t="s">
        <v>90</v>
      </c>
      <c r="E10" s="47">
        <f ca="1">SUMIF('ЖЭУ 3'!$D$5:$AF$6,'Ленина 1'!$C10,'ЖЭУ 3'!$D$15:$AF$15)</f>
        <v>2.39</v>
      </c>
    </row>
    <row r="11" spans="2:9" ht="41.45" customHeight="1" x14ac:dyDescent="0.2">
      <c r="B11" s="44">
        <v>5</v>
      </c>
      <c r="C11" s="45" t="str">
        <f>'ЖЭУ 3'!H5</f>
        <v>Содержание и техническое обслуживание внутридомовых систем холодного и горячего водоснабжения, отопления и канализации</v>
      </c>
      <c r="D11" s="46" t="s">
        <v>90</v>
      </c>
      <c r="E11" s="47">
        <f ca="1">SUMIF('ЖЭУ 3'!$D$5:$AF$6,'Ленина 1'!$C11,'ЖЭУ 3'!$D$15:$AF$15)</f>
        <v>3.28</v>
      </c>
    </row>
    <row r="12" spans="2:9" ht="41.45" customHeight="1" x14ac:dyDescent="0.2">
      <c r="B12" s="44">
        <v>6</v>
      </c>
      <c r="C12" s="45" t="str">
        <f>'ЖЭУ 3'!I5</f>
        <v>Содержание и техническое обслуживание внутридомовых систем электроснабжения</v>
      </c>
      <c r="D12" s="46" t="s">
        <v>90</v>
      </c>
      <c r="E12" s="47">
        <f ca="1">SUMIF('ЖЭУ 3'!$D$5:$AF$6,'Ленина 1'!$C12,'ЖЭУ 3'!$D$15:$AF$15)</f>
        <v>2.72</v>
      </c>
    </row>
    <row r="13" spans="2:9" ht="41.45" customHeight="1" x14ac:dyDescent="0.2">
      <c r="B13" s="44">
        <v>7</v>
      </c>
      <c r="C13" s="45" t="str">
        <f>'ЖЭУ 3'!J5</f>
        <v>Текущий ремонт МКД</v>
      </c>
      <c r="D13" s="46" t="s">
        <v>90</v>
      </c>
      <c r="E13" s="47">
        <f ca="1">SUMIF('ЖЭУ 3'!$D$5:$AF$6,'Ленина 1'!$C13,'ЖЭУ 3'!$D$15:$AF$15)</f>
        <v>10.294</v>
      </c>
    </row>
    <row r="14" spans="2:9" ht="41.45" customHeight="1" x14ac:dyDescent="0.2">
      <c r="B14" s="44">
        <v>8</v>
      </c>
      <c r="C14" s="45" t="str">
        <f>'ЖЭУ 3'!P5</f>
        <v>Дератизация, дезинсекция помещений</v>
      </c>
      <c r="D14" s="46" t="s">
        <v>90</v>
      </c>
      <c r="E14" s="47">
        <f ca="1">SUMIF('ЖЭУ 3'!$D$5:$AF$6,'Ленина 1'!$C14,'ЖЭУ 3'!$D$15:$AF$15)</f>
        <v>0.11</v>
      </c>
    </row>
    <row r="15" spans="2:9" ht="41.45" customHeight="1" x14ac:dyDescent="0.2">
      <c r="B15" s="44">
        <v>9</v>
      </c>
      <c r="C15" s="45" t="str">
        <f>'ЖЭУ 3'!Q5</f>
        <v>Благоустройство придомовой территории</v>
      </c>
      <c r="D15" s="46" t="s">
        <v>90</v>
      </c>
      <c r="E15" s="47">
        <f ca="1">SUMIF('ЖЭУ 3'!$D$5:$AF$6,'Ленина 1'!$C15,'ЖЭУ 3'!$D$15:$AF$15)</f>
        <v>0.37</v>
      </c>
    </row>
    <row r="16" spans="2:9" ht="41.45" customHeight="1" x14ac:dyDescent="0.2">
      <c r="B16" s="44">
        <v>10</v>
      </c>
      <c r="C16" s="45" t="str">
        <f>'ЖЭУ 3'!R5</f>
        <v>Сбор и вывоз твердых коммунальных отходов</v>
      </c>
      <c r="D16" s="46" t="s">
        <v>90</v>
      </c>
      <c r="E16" s="47">
        <f ca="1">SUMIF('ЖЭУ 3'!$D$5:$AF$6,'Ленина 1'!$C16,'ЖЭУ 3'!$D$15:$AF$15)</f>
        <v>1.1499999999999999</v>
      </c>
    </row>
    <row r="17" spans="2:8" ht="41.45" customHeight="1" x14ac:dyDescent="0.2">
      <c r="B17" s="44">
        <v>11</v>
      </c>
      <c r="C17" s="45" t="str">
        <f>'ЖЭУ 3'!S5</f>
        <v>Механизированная уборка территорий от снега</v>
      </c>
      <c r="D17" s="46" t="s">
        <v>90</v>
      </c>
      <c r="E17" s="47">
        <f ca="1">SUMIF('ЖЭУ 3'!$D$5:$AF$6,'Ленина 1'!$C17,'ЖЭУ 3'!$D$15:$AF$15)</f>
        <v>0.85</v>
      </c>
    </row>
    <row r="18" spans="2:8" ht="41.45" customHeight="1" x14ac:dyDescent="0.2">
      <c r="B18" s="44">
        <v>12</v>
      </c>
      <c r="C18" s="45" t="str">
        <f>'ЖЭУ 3'!T5</f>
        <v>Содержание, техническое обслуживание КОДПУ тепловой энергии на отопление</v>
      </c>
      <c r="D18" s="46" t="s">
        <v>90</v>
      </c>
      <c r="E18" s="47">
        <f ca="1">SUMIF('ЖЭУ 3'!$D$5:$AF$6,'Ленина 1'!$C18,'ЖЭУ 3'!$D$15:$AF$15)</f>
        <v>0.37</v>
      </c>
    </row>
    <row r="19" spans="2:8" ht="41.45" customHeight="1" x14ac:dyDescent="0.2">
      <c r="B19" s="44">
        <v>13</v>
      </c>
      <c r="C19" s="45" t="str">
        <f>'ЖЭУ 3'!U5</f>
        <v>Содержание, техническое обслуживание КОДПУ горячего водоснабжения</v>
      </c>
      <c r="D19" s="46" t="s">
        <v>90</v>
      </c>
      <c r="E19" s="47">
        <f ca="1">SUMIF('ЖЭУ 3'!$D$5:$AF$6,'Ленина 1'!$C19,'ЖЭУ 3'!$D$15:$AF$15)</f>
        <v>0</v>
      </c>
    </row>
    <row r="20" spans="2:8" ht="41.45" customHeight="1" x14ac:dyDescent="0.2">
      <c r="B20" s="44">
        <v>14</v>
      </c>
      <c r="C20" s="45" t="str">
        <f>'ЖЭУ 3'!V5</f>
        <v>Содержание, техническое обслуживание КОДПУ холодного водоснабжения</v>
      </c>
      <c r="D20" s="46" t="s">
        <v>90</v>
      </c>
      <c r="E20" s="47">
        <f ca="1">SUMIF('ЖЭУ 3'!$D$5:$AF$6,'Ленина 1'!$C20,'ЖЭУ 3'!$D$15:$AF$15)</f>
        <v>0.26</v>
      </c>
    </row>
    <row r="21" spans="2:8" ht="41.45" customHeight="1" x14ac:dyDescent="0.2">
      <c r="B21" s="44">
        <v>15</v>
      </c>
      <c r="C21" s="45" t="str">
        <f>'ЖЭУ 3'!W5</f>
        <v>Поверка, замена вышедшего из строя оборудования коллективног ОПУ тепловой энергии на отопление</v>
      </c>
      <c r="D21" s="46" t="s">
        <v>90</v>
      </c>
      <c r="E21" s="47">
        <f ca="1">SUMIF('ЖЭУ 3'!$D$5:$AF$6,'Ленина 1'!$C21,'ЖЭУ 3'!$D$15:$AF$15)</f>
        <v>0.25</v>
      </c>
    </row>
    <row r="22" spans="2:8" ht="41.45" customHeight="1" x14ac:dyDescent="0.2">
      <c r="B22" s="44">
        <v>16</v>
      </c>
      <c r="C22" s="45" t="str">
        <f>'ЖЭУ 3'!X5</f>
        <v>Поверка, замена вышедшего из строя оборудования коллективног ОПУ горячего водоснабжения</v>
      </c>
      <c r="D22" s="46" t="s">
        <v>90</v>
      </c>
      <c r="E22" s="47">
        <f ca="1">SUMIF('ЖЭУ 3'!$D$5:$AF$6,'Ленина 1'!$C22,'ЖЭУ 3'!$D$15:$AF$15)</f>
        <v>0</v>
      </c>
      <c r="G22" s="52">
        <f ca="1">SUM(E7:E25)</f>
        <v>38.903999999999996</v>
      </c>
      <c r="H22" s="52">
        <f ca="1">G22-'ЖЭУ 3'!AK15</f>
        <v>0</v>
      </c>
    </row>
    <row r="23" spans="2:8" ht="35.450000000000003" customHeight="1" x14ac:dyDescent="0.2">
      <c r="B23" s="44">
        <v>17</v>
      </c>
      <c r="C23" s="45" t="str">
        <f>'ЖЭУ 3'!Y5</f>
        <v>Поверка, замена вышедшего из строя оборудования коллективног ОПУ холодного водоснабжения</v>
      </c>
      <c r="D23" s="46" t="s">
        <v>90</v>
      </c>
      <c r="E23" s="47">
        <f ca="1">SUMIF('ЖЭУ 3'!$D$5:$AF$6,'Ленина 1'!$C23,'ЖЭУ 3'!$D$15:$AF$15)</f>
        <v>0.11</v>
      </c>
    </row>
    <row r="24" spans="2:8" ht="43.15" customHeight="1" x14ac:dyDescent="0.2">
      <c r="B24" s="44">
        <v>18</v>
      </c>
      <c r="C24" s="45" t="str">
        <f>'ЖЭУ 3'!Z5</f>
        <v>Поверка, замена вышедшего из строя оборудования коллективног ОПУ электрической энергии</v>
      </c>
      <c r="D24" s="46" t="s">
        <v>90</v>
      </c>
      <c r="E24" s="47">
        <f ca="1">SUMIF('ЖЭУ 3'!$D$5:$AF$6,'Ленина 1'!$C24,'ЖЭУ 3'!$D$15:$AF$15)</f>
        <v>0.27</v>
      </c>
    </row>
    <row r="25" spans="2:8" ht="31.9" customHeight="1" thickBot="1" x14ac:dyDescent="0.25">
      <c r="B25" s="48">
        <v>19</v>
      </c>
      <c r="C25" s="49" t="str">
        <f>'ЖЭУ 3'!AA5</f>
        <v>Техническое обслуживание систем аудидомофонной связи</v>
      </c>
      <c r="D25" s="50" t="s">
        <v>90</v>
      </c>
      <c r="E25" s="51">
        <f ca="1">SUMIF('ЖЭУ 3'!$D$5:$AF$6,'Ленина 1'!$C25,'ЖЭУ 3'!$D$15:$AF$15)</f>
        <v>0</v>
      </c>
    </row>
    <row r="26" spans="2:8" ht="25.15" customHeight="1" thickBot="1" x14ac:dyDescent="0.25">
      <c r="B26" s="116" t="s">
        <v>91</v>
      </c>
      <c r="C26" s="116"/>
    </row>
    <row r="27" spans="2:8" ht="25.15" customHeight="1" x14ac:dyDescent="0.2">
      <c r="B27" s="113" t="str">
        <f>CONCATENATE($I$5,$I$3)</f>
        <v>Расходы по коммунальным услугам, потребленным на содержание общего иммущества многоквартирного дома№ 18 ул. Менделеева</v>
      </c>
      <c r="C27" s="114"/>
      <c r="D27" s="114"/>
      <c r="E27" s="115"/>
    </row>
    <row r="28" spans="2:8" ht="25.15" customHeight="1" x14ac:dyDescent="0.2">
      <c r="B28" s="44">
        <v>1</v>
      </c>
      <c r="C28" s="45" t="str">
        <f>'ЖЭУ 3'!AB5</f>
        <v>Электрическая энергия, потребляемая при содержании общего имущества в МКД</v>
      </c>
      <c r="D28" s="46" t="s">
        <v>90</v>
      </c>
      <c r="E28" s="47">
        <f ca="1">SUMIF('ЖЭУ 3'!$D$5:$AF$6,'Ленина 1'!$C28,'ЖЭУ 3'!$D$15:$AF$15)</f>
        <v>1.0903453172400441</v>
      </c>
      <c r="G28" s="52"/>
    </row>
    <row r="29" spans="2:8" ht="25.15" customHeight="1" x14ac:dyDescent="0.2">
      <c r="B29" s="44">
        <v>2</v>
      </c>
      <c r="C29" s="45" t="str">
        <f>'ЖЭУ 3'!AC5</f>
        <v>Холодная вода, потребляемая при содержании общего имущества в МКД</v>
      </c>
      <c r="D29" s="46" t="s">
        <v>90</v>
      </c>
      <c r="E29" s="47">
        <f ca="1">SUMIF('ЖЭУ 3'!$D$5:$AF$6,'Ленина 1'!$C29,'ЖЭУ 3'!$D$15:$AF$15)</f>
        <v>0.17911745433421544</v>
      </c>
      <c r="G29" s="52">
        <f ca="1">SUM(E28:E32)</f>
        <v>2.2107157090298846</v>
      </c>
      <c r="H29" s="52">
        <f ca="1">G29-'ЖЭУ 3'!AJ15</f>
        <v>0</v>
      </c>
    </row>
    <row r="30" spans="2:8" ht="25.9" customHeight="1" x14ac:dyDescent="0.2">
      <c r="B30" s="44">
        <v>3</v>
      </c>
      <c r="C30" s="45" t="str">
        <f>'ЖЭУ 3'!AD5</f>
        <v>Холодная вода в составе горячей на содержание общего имущества МКД</v>
      </c>
      <c r="D30" s="46" t="s">
        <v>90</v>
      </c>
      <c r="E30" s="47">
        <f ca="1">SUMIF('ЖЭУ 3'!$D$5:$AF$6,'Ленина 1'!$C30,'ЖЭУ 3'!$D$15:$AF$15)</f>
        <v>0.59593271800167813</v>
      </c>
    </row>
    <row r="31" spans="2:8" ht="27.6" customHeight="1" x14ac:dyDescent="0.2">
      <c r="B31" s="44">
        <v>4</v>
      </c>
      <c r="C31" s="45" t="str">
        <f>'ЖЭУ 3'!AE5</f>
        <v>Горячая вода, потребляемая при содержании общего имущества в МКД</v>
      </c>
      <c r="D31" s="46" t="s">
        <v>90</v>
      </c>
      <c r="E31" s="47">
        <f ca="1">SUMIF('ЖЭУ 3'!$D$5:$AF$6,'Ленина 1'!$C31,'ЖЭУ 3'!$D$15:$AF$15)</f>
        <v>0</v>
      </c>
    </row>
    <row r="32" spans="2:8" ht="35.450000000000003" customHeight="1" thickBot="1" x14ac:dyDescent="0.25">
      <c r="B32" s="48">
        <v>5</v>
      </c>
      <c r="C32" s="49" t="str">
        <f>'ЖЭУ 3'!AF5</f>
        <v>Водоотведение при содержании общего имущества в МКД</v>
      </c>
      <c r="D32" s="50" t="s">
        <v>90</v>
      </c>
      <c r="E32" s="51">
        <f ca="1">SUMIF('ЖЭУ 3'!$D$5:$AF$6,'Ленина 1'!$C32,'ЖЭУ 3'!$D$15:$AF$15)</f>
        <v>0.34532021945394692</v>
      </c>
    </row>
    <row r="33" spans="2:8" ht="11.45" customHeight="1" x14ac:dyDescent="0.2">
      <c r="B33" s="53"/>
      <c r="C33" s="59"/>
      <c r="D33" s="55"/>
      <c r="E33" s="56"/>
    </row>
    <row r="34" spans="2:8" ht="21.6" customHeight="1" x14ac:dyDescent="0.2">
      <c r="B34" s="116" t="s">
        <v>92</v>
      </c>
      <c r="C34" s="116"/>
      <c r="D34" s="116"/>
      <c r="E34" s="116"/>
      <c r="G34" s="58"/>
    </row>
    <row r="35" spans="2:8" ht="15" customHeight="1" x14ac:dyDescent="0.2">
      <c r="B35" s="116"/>
      <c r="C35" s="116"/>
      <c r="D35" s="116"/>
      <c r="E35" s="116"/>
      <c r="H35" s="52"/>
    </row>
    <row r="36" spans="2:8" x14ac:dyDescent="0.2">
      <c r="B36" s="57"/>
      <c r="C36" s="59"/>
      <c r="D36" s="55"/>
      <c r="E36" s="56"/>
      <c r="G36" s="60"/>
      <c r="H36" s="61"/>
    </row>
    <row r="37" spans="2:8" x14ac:dyDescent="0.2">
      <c r="B37" s="117"/>
      <c r="C37" s="117"/>
      <c r="G37" s="60"/>
      <c r="H37" s="62"/>
    </row>
    <row r="38" spans="2:8" x14ac:dyDescent="0.2">
      <c r="B38" s="118" t="s">
        <v>93</v>
      </c>
      <c r="C38" s="118"/>
      <c r="E38" s="42" t="s">
        <v>94</v>
      </c>
      <c r="H38" s="63"/>
    </row>
  </sheetData>
  <mergeCells count="10">
    <mergeCell ref="B37:C37"/>
    <mergeCell ref="B38:C38"/>
    <mergeCell ref="B4:E4"/>
    <mergeCell ref="B5:B6"/>
    <mergeCell ref="C5:C6"/>
    <mergeCell ref="D5:D6"/>
    <mergeCell ref="E5:E6"/>
    <mergeCell ref="B26:C26"/>
    <mergeCell ref="B27:E27"/>
    <mergeCell ref="B34:E35"/>
  </mergeCells>
  <pageMargins left="0.7" right="0.7" top="0.75" bottom="0.75" header="0.3" footer="0.3"/>
  <pageSetup paperSize="9" scale="6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view="pageBreakPreview" zoomScale="75" zoomScaleNormal="100" zoomScaleSheetLayoutView="75" workbookViewId="0">
      <selection activeCell="F1" sqref="F1:F2"/>
    </sheetView>
  </sheetViews>
  <sheetFormatPr defaultColWidth="8.85546875" defaultRowHeight="12.75" x14ac:dyDescent="0.2"/>
  <cols>
    <col min="1" max="1" width="3.42578125" style="41" customWidth="1"/>
    <col min="2" max="2" width="4.85546875" style="41" customWidth="1"/>
    <col min="3" max="3" width="43.7109375" style="41" customWidth="1"/>
    <col min="4" max="4" width="9" style="41" bestFit="1" customWidth="1"/>
    <col min="5" max="5" width="12.5703125" style="42" customWidth="1"/>
    <col min="6" max="16384" width="8.85546875" style="41"/>
  </cols>
  <sheetData>
    <row r="1" spans="2:9" x14ac:dyDescent="0.2">
      <c r="F1" s="43" t="s">
        <v>85</v>
      </c>
    </row>
    <row r="2" spans="2:9" ht="15" x14ac:dyDescent="0.35">
      <c r="F2" s="90" t="s">
        <v>139</v>
      </c>
    </row>
    <row r="3" spans="2:9" ht="13.5" thickBot="1" x14ac:dyDescent="0.25">
      <c r="I3" s="41" t="s">
        <v>105</v>
      </c>
    </row>
    <row r="4" spans="2:9" ht="24" customHeight="1" x14ac:dyDescent="0.2">
      <c r="B4" s="119" t="str">
        <f>CONCATENATE($I$4,$I$3)</f>
        <v>Размер платы на содержание общего имущества многоквартирного дома№ 20 ул. Менделеева</v>
      </c>
      <c r="C4" s="120"/>
      <c r="D4" s="120"/>
      <c r="E4" s="121"/>
      <c r="I4" s="41" t="s">
        <v>96</v>
      </c>
    </row>
    <row r="5" spans="2:9" ht="13.9" customHeight="1" x14ac:dyDescent="0.2">
      <c r="B5" s="122" t="s">
        <v>1</v>
      </c>
      <c r="C5" s="123" t="s">
        <v>87</v>
      </c>
      <c r="D5" s="124" t="s">
        <v>88</v>
      </c>
      <c r="E5" s="125" t="s">
        <v>89</v>
      </c>
      <c r="I5" s="41" t="s">
        <v>97</v>
      </c>
    </row>
    <row r="6" spans="2:9" x14ac:dyDescent="0.2">
      <c r="B6" s="122"/>
      <c r="C6" s="123"/>
      <c r="D6" s="124"/>
      <c r="E6" s="125"/>
    </row>
    <row r="7" spans="2:9" ht="41.45" customHeight="1" x14ac:dyDescent="0.2">
      <c r="B7" s="44">
        <v>1</v>
      </c>
      <c r="C7" s="45" t="str">
        <f>'ЖЭУ 3'!D5</f>
        <v xml:space="preserve">Управление  многоквартирным домом   </v>
      </c>
      <c r="D7" s="46" t="s">
        <v>90</v>
      </c>
      <c r="E7" s="47">
        <f ca="1">SUMIF('ЖЭУ 3'!$D$5:$AF$6,'Ленина 1'!$C7,'ЖЭУ 3'!$D$16:$AF$16)</f>
        <v>5.04</v>
      </c>
    </row>
    <row r="8" spans="2:9" ht="41.45" customHeight="1" x14ac:dyDescent="0.2">
      <c r="B8" s="44">
        <v>2</v>
      </c>
      <c r="C8" s="45" t="str">
        <f>'ЖЭУ 3'!E5</f>
        <v>Уборка и санитарно-гигиеническая очистка 
лестничных клеток</v>
      </c>
      <c r="D8" s="46" t="s">
        <v>90</v>
      </c>
      <c r="E8" s="47">
        <f ca="1">SUMIF('ЖЭУ 3'!$D$5:$AF$6,'Ленина 1'!$C8,'ЖЭУ 3'!$D$16:$AF$16)</f>
        <v>5.93</v>
      </c>
    </row>
    <row r="9" spans="2:9" ht="41.45" customHeight="1" x14ac:dyDescent="0.2">
      <c r="B9" s="44">
        <v>3</v>
      </c>
      <c r="C9" s="45" t="str">
        <f>'ЖЭУ 3'!F5</f>
        <v>Уборка и санитарно-гигиеническая очистка земельного участка и контейнерных площадок</v>
      </c>
      <c r="D9" s="46" t="s">
        <v>90</v>
      </c>
      <c r="E9" s="47">
        <f ca="1">SUMIF('ЖЭУ 3'!$D$5:$AF$6,'Ленина 1'!$C9,'ЖЭУ 3'!$D$16:$AF$16)</f>
        <v>5.66</v>
      </c>
    </row>
    <row r="10" spans="2:9" ht="41.45" customHeight="1" x14ac:dyDescent="0.2">
      <c r="B10" s="44">
        <v>4</v>
      </c>
      <c r="C10" s="45" t="str">
        <f>'ЖЭУ 3'!G5</f>
        <v>Содержание и техническое обслуживание конструктивных элементов</v>
      </c>
      <c r="D10" s="46" t="s">
        <v>90</v>
      </c>
      <c r="E10" s="47">
        <f ca="1">SUMIF('ЖЭУ 3'!$D$5:$AF$6,'Ленина 1'!$C10,'ЖЭУ 3'!$D$16:$AF$16)</f>
        <v>2.2200000000000002</v>
      </c>
    </row>
    <row r="11" spans="2:9" ht="41.45" customHeight="1" x14ac:dyDescent="0.2">
      <c r="B11" s="44">
        <v>5</v>
      </c>
      <c r="C11" s="45" t="str">
        <f>'ЖЭУ 3'!H5</f>
        <v>Содержание и техническое обслуживание внутридомовых систем холодного и горячего водоснабжения, отопления и канализации</v>
      </c>
      <c r="D11" s="46" t="s">
        <v>90</v>
      </c>
      <c r="E11" s="47">
        <f ca="1">SUMIF('ЖЭУ 3'!$D$5:$AF$6,'Ленина 1'!$C11,'ЖЭУ 3'!$D$16:$AF$16)</f>
        <v>3.03</v>
      </c>
    </row>
    <row r="12" spans="2:9" ht="41.45" customHeight="1" x14ac:dyDescent="0.2">
      <c r="B12" s="44">
        <v>6</v>
      </c>
      <c r="C12" s="45" t="str">
        <f>'ЖЭУ 3'!I5</f>
        <v>Содержание и техническое обслуживание внутридомовых систем электроснабжения</v>
      </c>
      <c r="D12" s="46" t="s">
        <v>90</v>
      </c>
      <c r="E12" s="47">
        <f ca="1">SUMIF('ЖЭУ 3'!$D$5:$AF$6,'Ленина 1'!$C12,'ЖЭУ 3'!$D$16:$AF$16)</f>
        <v>2.83</v>
      </c>
    </row>
    <row r="13" spans="2:9" ht="41.45" customHeight="1" x14ac:dyDescent="0.2">
      <c r="B13" s="44">
        <v>7</v>
      </c>
      <c r="C13" s="45" t="str">
        <f>'ЖЭУ 3'!J5</f>
        <v>Текущий ремонт МКД</v>
      </c>
      <c r="D13" s="46" t="s">
        <v>90</v>
      </c>
      <c r="E13" s="47">
        <f ca="1">SUMIF('ЖЭУ 3'!$D$5:$AF$6,'Ленина 1'!$C13,'ЖЭУ 3'!$D$16:$AF$16)</f>
        <v>10.06</v>
      </c>
    </row>
    <row r="14" spans="2:9" ht="41.45" customHeight="1" x14ac:dyDescent="0.2">
      <c r="B14" s="44">
        <v>8</v>
      </c>
      <c r="C14" s="45" t="str">
        <f>'ЖЭУ 3'!P5</f>
        <v>Дератизация, дезинсекция помещений</v>
      </c>
      <c r="D14" s="46" t="s">
        <v>90</v>
      </c>
      <c r="E14" s="47">
        <f ca="1">SUMIF('ЖЭУ 3'!$D$5:$AF$6,'Ленина 1'!$C14,'ЖЭУ 3'!$D$16:$AF$16)</f>
        <v>0.11</v>
      </c>
    </row>
    <row r="15" spans="2:9" ht="41.45" customHeight="1" x14ac:dyDescent="0.2">
      <c r="B15" s="44">
        <v>9</v>
      </c>
      <c r="C15" s="45" t="str">
        <f>'ЖЭУ 3'!Q5</f>
        <v>Благоустройство придомовой территории</v>
      </c>
      <c r="D15" s="46" t="s">
        <v>90</v>
      </c>
      <c r="E15" s="47">
        <f ca="1">SUMIF('ЖЭУ 3'!$D$5:$AF$6,'Ленина 1'!$C15,'ЖЭУ 3'!$D$16:$AF$16)</f>
        <v>0.37</v>
      </c>
    </row>
    <row r="16" spans="2:9" ht="41.45" customHeight="1" x14ac:dyDescent="0.2">
      <c r="B16" s="44">
        <v>10</v>
      </c>
      <c r="C16" s="45" t="str">
        <f>'ЖЭУ 3'!R5</f>
        <v>Сбор и вывоз твердых коммунальных отходов</v>
      </c>
      <c r="D16" s="46" t="s">
        <v>90</v>
      </c>
      <c r="E16" s="47">
        <f ca="1">SUMIF('ЖЭУ 3'!$D$5:$AF$6,'Ленина 1'!$C16,'ЖЭУ 3'!$D$16:$AF$16)</f>
        <v>1.37</v>
      </c>
    </row>
    <row r="17" spans="2:8" ht="41.45" customHeight="1" x14ac:dyDescent="0.2">
      <c r="B17" s="44">
        <v>11</v>
      </c>
      <c r="C17" s="45" t="str">
        <f>'ЖЭУ 3'!S5</f>
        <v>Механизированная уборка территорий от снега</v>
      </c>
      <c r="D17" s="46" t="s">
        <v>90</v>
      </c>
      <c r="E17" s="47">
        <f ca="1">SUMIF('ЖЭУ 3'!$D$5:$AF$6,'Ленина 1'!$C17,'ЖЭУ 3'!$D$16:$AF$16)</f>
        <v>0.64</v>
      </c>
    </row>
    <row r="18" spans="2:8" ht="41.45" customHeight="1" x14ac:dyDescent="0.2">
      <c r="B18" s="44">
        <v>12</v>
      </c>
      <c r="C18" s="45" t="str">
        <f>'ЖЭУ 3'!T5</f>
        <v>Содержание, техническое обслуживание КОДПУ тепловой энергии на отопление</v>
      </c>
      <c r="D18" s="46" t="s">
        <v>90</v>
      </c>
      <c r="E18" s="47">
        <f ca="1">SUMIF('ЖЭУ 3'!$D$5:$AF$6,'Ленина 1'!$C18,'ЖЭУ 3'!$D$16:$AF$16)</f>
        <v>0.49</v>
      </c>
    </row>
    <row r="19" spans="2:8" ht="41.45" customHeight="1" x14ac:dyDescent="0.2">
      <c r="B19" s="44">
        <v>13</v>
      </c>
      <c r="C19" s="45" t="str">
        <f>'ЖЭУ 3'!U5</f>
        <v>Содержание, техническое обслуживание КОДПУ горячего водоснабжения</v>
      </c>
      <c r="D19" s="46" t="s">
        <v>90</v>
      </c>
      <c r="E19" s="47">
        <f ca="1">SUMIF('ЖЭУ 3'!$D$5:$AF$6,'Ленина 1'!$C19,'ЖЭУ 3'!$D$16:$AF$16)</f>
        <v>0</v>
      </c>
    </row>
    <row r="20" spans="2:8" ht="41.45" customHeight="1" x14ac:dyDescent="0.2">
      <c r="B20" s="44">
        <v>14</v>
      </c>
      <c r="C20" s="45" t="str">
        <f>'ЖЭУ 3'!V5</f>
        <v>Содержание, техническое обслуживание КОДПУ холодного водоснабжения</v>
      </c>
      <c r="D20" s="46" t="s">
        <v>90</v>
      </c>
      <c r="E20" s="47">
        <f ca="1">SUMIF('ЖЭУ 3'!$D$5:$AF$6,'Ленина 1'!$C20,'ЖЭУ 3'!$D$16:$AF$16)</f>
        <v>0.35</v>
      </c>
    </row>
    <row r="21" spans="2:8" ht="41.45" customHeight="1" x14ac:dyDescent="0.2">
      <c r="B21" s="44">
        <v>15</v>
      </c>
      <c r="C21" s="45" t="str">
        <f>'ЖЭУ 3'!W5</f>
        <v>Поверка, замена вышедшего из строя оборудования коллективног ОПУ тепловой энергии на отопление</v>
      </c>
      <c r="D21" s="46" t="s">
        <v>90</v>
      </c>
      <c r="E21" s="47">
        <f ca="1">SUMIF('ЖЭУ 3'!$D$5:$AF$6,'Ленина 1'!$C21,'ЖЭУ 3'!$D$16:$AF$16)</f>
        <v>0.34</v>
      </c>
    </row>
    <row r="22" spans="2:8" ht="41.45" customHeight="1" x14ac:dyDescent="0.2">
      <c r="B22" s="44">
        <v>16</v>
      </c>
      <c r="C22" s="45" t="str">
        <f>'ЖЭУ 3'!X5</f>
        <v>Поверка, замена вышедшего из строя оборудования коллективног ОПУ горячего водоснабжения</v>
      </c>
      <c r="D22" s="46" t="s">
        <v>90</v>
      </c>
      <c r="E22" s="47">
        <f ca="1">SUMIF('ЖЭУ 3'!$D$5:$AF$6,'Ленина 1'!$C22,'ЖЭУ 3'!$D$16:$AF$16)</f>
        <v>0</v>
      </c>
      <c r="G22" s="52">
        <f ca="1">SUM(E7:E25)</f>
        <v>38.940000000000005</v>
      </c>
      <c r="H22" s="52">
        <f ca="1">G22-'ЖЭУ 3'!AK16</f>
        <v>0</v>
      </c>
    </row>
    <row r="23" spans="2:8" ht="33" customHeight="1" x14ac:dyDescent="0.2">
      <c r="B23" s="44">
        <v>17</v>
      </c>
      <c r="C23" s="45" t="str">
        <f>'ЖЭУ 3'!Y5</f>
        <v>Поверка, замена вышедшего из строя оборудования коллективног ОПУ холодного водоснабжения</v>
      </c>
      <c r="D23" s="46" t="s">
        <v>90</v>
      </c>
      <c r="E23" s="47">
        <f ca="1">SUMIF('ЖЭУ 3'!$D$5:$AF$6,'Ленина 1'!$C23,'ЖЭУ 3'!$D$16:$AF$16)</f>
        <v>0.14000000000000001</v>
      </c>
    </row>
    <row r="24" spans="2:8" ht="43.15" customHeight="1" x14ac:dyDescent="0.2">
      <c r="B24" s="44">
        <v>18</v>
      </c>
      <c r="C24" s="45" t="str">
        <f>'ЖЭУ 3'!Z5</f>
        <v>Поверка, замена вышедшего из строя оборудования коллективног ОПУ электрической энергии</v>
      </c>
      <c r="D24" s="46" t="s">
        <v>90</v>
      </c>
      <c r="E24" s="47">
        <f ca="1">SUMIF('ЖЭУ 3'!$D$5:$AF$6,'Ленина 1'!$C24,'ЖЭУ 3'!$D$16:$AF$16)</f>
        <v>0.36</v>
      </c>
    </row>
    <row r="25" spans="2:8" ht="31.9" customHeight="1" thickBot="1" x14ac:dyDescent="0.25">
      <c r="B25" s="48">
        <v>19</v>
      </c>
      <c r="C25" s="49" t="str">
        <f>'ЖЭУ 3'!AA5</f>
        <v>Техническое обслуживание систем аудидомофонной связи</v>
      </c>
      <c r="D25" s="50" t="s">
        <v>90</v>
      </c>
      <c r="E25" s="51">
        <f ca="1">SUMIF('ЖЭУ 3'!$D$5:$AF$6,'Ленина 1'!$C25,'ЖЭУ 3'!$D$16:$AF$16)</f>
        <v>0</v>
      </c>
    </row>
    <row r="26" spans="2:8" ht="11.45" customHeight="1" thickBot="1" x14ac:dyDescent="0.25">
      <c r="B26" s="116" t="s">
        <v>91</v>
      </c>
      <c r="C26" s="116"/>
    </row>
    <row r="27" spans="2:8" ht="25.15" customHeight="1" x14ac:dyDescent="0.2">
      <c r="B27" s="113" t="str">
        <f>CONCATENATE($I$5,$I$3)</f>
        <v>Расходы по коммунальным услугам, потребленным на содержание общего иммущества многоквартирного дома№ 20 ул. Менделеева</v>
      </c>
      <c r="C27" s="114"/>
      <c r="D27" s="114"/>
      <c r="E27" s="115"/>
    </row>
    <row r="28" spans="2:8" ht="25.15" customHeight="1" x14ac:dyDescent="0.2">
      <c r="B28" s="44">
        <v>1</v>
      </c>
      <c r="C28" s="45" t="str">
        <f>'ЖЭУ 3'!AB5</f>
        <v>Электрическая энергия, потребляемая при содержании общего имущества в МКД</v>
      </c>
      <c r="D28" s="46" t="s">
        <v>90</v>
      </c>
      <c r="E28" s="47">
        <f ca="1">SUMIF('ЖЭУ 3'!$D$5:$AF$6,'Ленина 1'!$C28,'ЖЭУ 3'!$D$16:$AF$16)</f>
        <v>1.1528013816925733</v>
      </c>
      <c r="G28" s="52"/>
    </row>
    <row r="29" spans="2:8" ht="25.15" customHeight="1" x14ac:dyDescent="0.2">
      <c r="B29" s="44">
        <v>2</v>
      </c>
      <c r="C29" s="45" t="str">
        <f>'ЖЭУ 3'!AC5</f>
        <v>Холодная вода, потребляемая при содержании общего имущества в МКД</v>
      </c>
      <c r="D29" s="46" t="s">
        <v>90</v>
      </c>
      <c r="E29" s="47">
        <f ca="1">SUMIF('ЖЭУ 3'!$D$5:$AF$6,'Ленина 1'!$C29,'ЖЭУ 3'!$D$16:$AF$16)</f>
        <v>0.20591096373056991</v>
      </c>
      <c r="G29" s="52">
        <f ca="1">SUM(E28:E32)</f>
        <v>2.440763785837651</v>
      </c>
      <c r="H29" s="52">
        <f ca="1">G29-'ЖЭУ 3'!AJ16</f>
        <v>0</v>
      </c>
    </row>
    <row r="30" spans="2:8" ht="27.6" customHeight="1" x14ac:dyDescent="0.2">
      <c r="B30" s="44">
        <v>3</v>
      </c>
      <c r="C30" s="45" t="str">
        <f>'ЖЭУ 3'!AD5</f>
        <v>Холодная вода в составе горячей на содержание общего имущества МКД</v>
      </c>
      <c r="D30" s="46" t="s">
        <v>90</v>
      </c>
      <c r="E30" s="47">
        <f ca="1">SUMIF('ЖЭУ 3'!$D$5:$AF$6,'Ленина 1'!$C30,'ЖЭУ 3'!$D$16:$AF$16)</f>
        <v>0.68507606217616579</v>
      </c>
    </row>
    <row r="31" spans="2:8" ht="27.6" customHeight="1" x14ac:dyDescent="0.2">
      <c r="B31" s="44">
        <v>4</v>
      </c>
      <c r="C31" s="45" t="str">
        <f>'ЖЭУ 3'!AE5</f>
        <v>Горячая вода, потребляемая при содержании общего имущества в МКД</v>
      </c>
      <c r="D31" s="46" t="s">
        <v>90</v>
      </c>
      <c r="E31" s="47">
        <f ca="1">SUMIF('ЖЭУ 3'!$D$5:$AF$6,'Ленина 1'!$C31,'ЖЭУ 3'!$D$16:$AF$16)</f>
        <v>0</v>
      </c>
    </row>
    <row r="32" spans="2:8" ht="27.6" customHeight="1" thickBot="1" x14ac:dyDescent="0.25">
      <c r="B32" s="48">
        <v>5</v>
      </c>
      <c r="C32" s="49" t="str">
        <f>'ЖЭУ 3'!AF5</f>
        <v>Водоотведение при содержании общего имущества в МКД</v>
      </c>
      <c r="D32" s="50" t="s">
        <v>90</v>
      </c>
      <c r="E32" s="51">
        <f ca="1">SUMIF('ЖЭУ 3'!$D$5:$AF$6,'Ленина 1'!$C32,'ЖЭУ 3'!$D$16:$AF$16)</f>
        <v>0.39697537823834195</v>
      </c>
    </row>
    <row r="33" spans="2:8" ht="11.45" customHeight="1" x14ac:dyDescent="0.2">
      <c r="B33" s="53"/>
      <c r="C33" s="59"/>
      <c r="D33" s="55"/>
      <c r="E33" s="56"/>
    </row>
    <row r="34" spans="2:8" ht="21.6" customHeight="1" x14ac:dyDescent="0.2">
      <c r="B34" s="116" t="s">
        <v>92</v>
      </c>
      <c r="C34" s="116"/>
      <c r="D34" s="116"/>
      <c r="E34" s="116"/>
      <c r="G34" s="58"/>
    </row>
    <row r="35" spans="2:8" ht="15" customHeight="1" x14ac:dyDescent="0.2">
      <c r="B35" s="116"/>
      <c r="C35" s="116"/>
      <c r="D35" s="116"/>
      <c r="E35" s="116"/>
      <c r="H35" s="52"/>
    </row>
    <row r="36" spans="2:8" x14ac:dyDescent="0.2">
      <c r="B36" s="57"/>
      <c r="C36" s="59"/>
      <c r="D36" s="55"/>
      <c r="E36" s="56"/>
      <c r="G36" s="60"/>
      <c r="H36" s="61"/>
    </row>
    <row r="37" spans="2:8" x14ac:dyDescent="0.2">
      <c r="B37" s="117"/>
      <c r="C37" s="117"/>
      <c r="G37" s="60"/>
      <c r="H37" s="62"/>
    </row>
    <row r="38" spans="2:8" x14ac:dyDescent="0.2">
      <c r="B38" s="118" t="s">
        <v>93</v>
      </c>
      <c r="C38" s="118"/>
      <c r="E38" s="42" t="s">
        <v>94</v>
      </c>
      <c r="H38" s="63"/>
    </row>
  </sheetData>
  <mergeCells count="10">
    <mergeCell ref="B37:C37"/>
    <mergeCell ref="B38:C38"/>
    <mergeCell ref="B4:E4"/>
    <mergeCell ref="B5:B6"/>
    <mergeCell ref="C5:C6"/>
    <mergeCell ref="D5:D6"/>
    <mergeCell ref="E5:E6"/>
    <mergeCell ref="B26:C26"/>
    <mergeCell ref="B27:E27"/>
    <mergeCell ref="B34:E35"/>
  </mergeCells>
  <pageMargins left="0.7" right="0.7" top="0.75" bottom="0.75" header="0.3" footer="0.3"/>
  <pageSetup paperSize="9" scale="6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view="pageBreakPreview" zoomScale="75" zoomScaleNormal="100" zoomScaleSheetLayoutView="75" workbookViewId="0">
      <selection activeCell="F1" sqref="F1:F2"/>
    </sheetView>
  </sheetViews>
  <sheetFormatPr defaultColWidth="8.85546875" defaultRowHeight="12.75" x14ac:dyDescent="0.2"/>
  <cols>
    <col min="1" max="1" width="3.42578125" style="41" customWidth="1"/>
    <col min="2" max="2" width="4.85546875" style="41" customWidth="1"/>
    <col min="3" max="3" width="43.7109375" style="41" customWidth="1"/>
    <col min="4" max="4" width="9" style="41" bestFit="1" customWidth="1"/>
    <col min="5" max="5" width="12.5703125" style="42" customWidth="1"/>
    <col min="6" max="16384" width="8.85546875" style="41"/>
  </cols>
  <sheetData>
    <row r="1" spans="2:9" x14ac:dyDescent="0.2">
      <c r="F1" s="43" t="s">
        <v>85</v>
      </c>
    </row>
    <row r="2" spans="2:9" ht="15" x14ac:dyDescent="0.35">
      <c r="F2" s="90" t="s">
        <v>139</v>
      </c>
    </row>
    <row r="3" spans="2:9" ht="13.5" thickBot="1" x14ac:dyDescent="0.25">
      <c r="I3" s="41" t="s">
        <v>106</v>
      </c>
    </row>
    <row r="4" spans="2:9" ht="24" customHeight="1" x14ac:dyDescent="0.2">
      <c r="B4" s="119" t="str">
        <f>CONCATENATE($I$4,$I$3)</f>
        <v>Размер платы на содержание общего имущества многоквартирного дома№ 22 ул. Менделеева</v>
      </c>
      <c r="C4" s="120"/>
      <c r="D4" s="120"/>
      <c r="E4" s="121"/>
      <c r="I4" s="41" t="s">
        <v>96</v>
      </c>
    </row>
    <row r="5" spans="2:9" ht="13.9" customHeight="1" x14ac:dyDescent="0.2">
      <c r="B5" s="122" t="s">
        <v>1</v>
      </c>
      <c r="C5" s="123" t="s">
        <v>87</v>
      </c>
      <c r="D5" s="124" t="s">
        <v>88</v>
      </c>
      <c r="E5" s="125" t="s">
        <v>89</v>
      </c>
      <c r="I5" s="41" t="s">
        <v>97</v>
      </c>
    </row>
    <row r="6" spans="2:9" x14ac:dyDescent="0.2">
      <c r="B6" s="122"/>
      <c r="C6" s="123"/>
      <c r="D6" s="124"/>
      <c r="E6" s="125"/>
    </row>
    <row r="7" spans="2:9" ht="41.45" customHeight="1" x14ac:dyDescent="0.2">
      <c r="B7" s="44">
        <v>1</v>
      </c>
      <c r="C7" s="45" t="str">
        <f>'ЖЭУ 3'!D5</f>
        <v xml:space="preserve">Управление  многоквартирным домом   </v>
      </c>
      <c r="D7" s="46" t="s">
        <v>90</v>
      </c>
      <c r="E7" s="47">
        <f ca="1">SUMIF('ЖЭУ 3'!$D$5:$AF$6,'Ленина 1'!$C7,'ЖЭУ 3'!$D$17:$AF$17)</f>
        <v>5.04</v>
      </c>
    </row>
    <row r="8" spans="2:9" ht="41.45" customHeight="1" x14ac:dyDescent="0.2">
      <c r="B8" s="44">
        <v>2</v>
      </c>
      <c r="C8" s="45" t="str">
        <f>'ЖЭУ 3'!E5</f>
        <v>Уборка и санитарно-гигиеническая очистка 
лестничных клеток</v>
      </c>
      <c r="D8" s="46" t="s">
        <v>90</v>
      </c>
      <c r="E8" s="47">
        <f ca="1">SUMIF('ЖЭУ 3'!$D$5:$AF$6,'Ленина 1'!$C8,'ЖЭУ 3'!$D$17:$AF$17)</f>
        <v>5.66</v>
      </c>
    </row>
    <row r="9" spans="2:9" ht="41.45" customHeight="1" x14ac:dyDescent="0.2">
      <c r="B9" s="44">
        <v>3</v>
      </c>
      <c r="C9" s="45" t="str">
        <f>'ЖЭУ 3'!F5</f>
        <v>Уборка и санитарно-гигиеническая очистка земельного участка и контейнерных площадок</v>
      </c>
      <c r="D9" s="46" t="s">
        <v>90</v>
      </c>
      <c r="E9" s="47">
        <f ca="1">SUMIF('ЖЭУ 3'!$D$5:$AF$6,'Ленина 1'!$C9,'ЖЭУ 3'!$D$17:$AF$17)</f>
        <v>5.78</v>
      </c>
    </row>
    <row r="10" spans="2:9" ht="41.45" customHeight="1" x14ac:dyDescent="0.2">
      <c r="B10" s="44">
        <v>4</v>
      </c>
      <c r="C10" s="45" t="str">
        <f>'ЖЭУ 3'!G5</f>
        <v>Содержание и техническое обслуживание конструктивных элементов</v>
      </c>
      <c r="D10" s="46" t="s">
        <v>90</v>
      </c>
      <c r="E10" s="47">
        <f ca="1">SUMIF('ЖЭУ 3'!$D$5:$AF$6,'Ленина 1'!$C10,'ЖЭУ 3'!$D$17:$AF$17)</f>
        <v>2.2400000000000002</v>
      </c>
    </row>
    <row r="11" spans="2:9" ht="41.45" customHeight="1" x14ac:dyDescent="0.2">
      <c r="B11" s="44">
        <v>5</v>
      </c>
      <c r="C11" s="45" t="str">
        <f>'ЖЭУ 3'!H5</f>
        <v>Содержание и техническое обслуживание внутридомовых систем холодного и горячего водоснабжения, отопления и канализации</v>
      </c>
      <c r="D11" s="46" t="s">
        <v>90</v>
      </c>
      <c r="E11" s="47">
        <f ca="1">SUMIF('ЖЭУ 3'!$D$5:$AF$6,'Ленина 1'!$C11,'ЖЭУ 3'!$D$17:$AF$17)</f>
        <v>3.08</v>
      </c>
    </row>
    <row r="12" spans="2:9" ht="41.45" customHeight="1" x14ac:dyDescent="0.2">
      <c r="B12" s="44">
        <v>6</v>
      </c>
      <c r="C12" s="45" t="str">
        <f>'ЖЭУ 3'!I5</f>
        <v>Содержание и техническое обслуживание внутридомовых систем электроснабжения</v>
      </c>
      <c r="D12" s="46" t="s">
        <v>90</v>
      </c>
      <c r="E12" s="47">
        <f ca="1">SUMIF('ЖЭУ 3'!$D$5:$AF$6,'Ленина 1'!$C12,'ЖЭУ 3'!$D$17:$AF$17)</f>
        <v>2.9</v>
      </c>
    </row>
    <row r="13" spans="2:9" ht="41.45" customHeight="1" x14ac:dyDescent="0.2">
      <c r="B13" s="44">
        <v>7</v>
      </c>
      <c r="C13" s="45" t="str">
        <f>'ЖЭУ 3'!J5</f>
        <v>Текущий ремонт МКД</v>
      </c>
      <c r="D13" s="46" t="s">
        <v>90</v>
      </c>
      <c r="E13" s="47">
        <f ca="1">SUMIF('ЖЭУ 3'!$D$5:$AF$6,'Ленина 1'!$C13,'ЖЭУ 3'!$D$17:$AF$17)</f>
        <v>10.754</v>
      </c>
    </row>
    <row r="14" spans="2:9" ht="41.45" customHeight="1" x14ac:dyDescent="0.2">
      <c r="B14" s="44">
        <v>8</v>
      </c>
      <c r="C14" s="45" t="str">
        <f>'ЖЭУ 3'!P5</f>
        <v>Дератизация, дезинсекция помещений</v>
      </c>
      <c r="D14" s="46" t="s">
        <v>90</v>
      </c>
      <c r="E14" s="47">
        <f ca="1">SUMIF('ЖЭУ 3'!$D$5:$AF$6,'Ленина 1'!$C14,'ЖЭУ 3'!$D$17:$AF$17)</f>
        <v>0.11</v>
      </c>
    </row>
    <row r="15" spans="2:9" ht="41.45" customHeight="1" x14ac:dyDescent="0.2">
      <c r="B15" s="44">
        <v>9</v>
      </c>
      <c r="C15" s="45" t="str">
        <f>'ЖЭУ 3'!Q5</f>
        <v>Благоустройство придомовой территории</v>
      </c>
      <c r="D15" s="46" t="s">
        <v>90</v>
      </c>
      <c r="E15" s="47">
        <f ca="1">SUMIF('ЖЭУ 3'!$D$5:$AF$6,'Ленина 1'!$C15,'ЖЭУ 3'!$D$17:$AF$17)</f>
        <v>0.37</v>
      </c>
    </row>
    <row r="16" spans="2:9" ht="41.45" customHeight="1" x14ac:dyDescent="0.2">
      <c r="B16" s="44">
        <v>10</v>
      </c>
      <c r="C16" s="45" t="str">
        <f>'ЖЭУ 3'!R5</f>
        <v>Сбор и вывоз твердых коммунальных отходов</v>
      </c>
      <c r="D16" s="46" t="s">
        <v>90</v>
      </c>
      <c r="E16" s="47">
        <f ca="1">SUMIF('ЖЭУ 3'!$D$5:$AF$6,'Ленина 1'!$C16,'ЖЭУ 3'!$D$17:$AF$17)</f>
        <v>1.39</v>
      </c>
    </row>
    <row r="17" spans="2:8" ht="41.45" customHeight="1" x14ac:dyDescent="0.2">
      <c r="B17" s="44">
        <v>11</v>
      </c>
      <c r="C17" s="45" t="str">
        <f>'ЖЭУ 3'!S5</f>
        <v>Механизированная уборка территорий от снега</v>
      </c>
      <c r="D17" s="46" t="s">
        <v>90</v>
      </c>
      <c r="E17" s="47">
        <f ca="1">SUMIF('ЖЭУ 3'!$D$5:$AF$6,'Ленина 1'!$C17,'ЖЭУ 3'!$D$17:$AF$17)</f>
        <v>0.55000000000000004</v>
      </c>
    </row>
    <row r="18" spans="2:8" ht="41.45" customHeight="1" x14ac:dyDescent="0.2">
      <c r="B18" s="44">
        <v>12</v>
      </c>
      <c r="C18" s="45" t="str">
        <f>'ЖЭУ 3'!T5</f>
        <v>Содержание, техническое обслуживание КОДПУ тепловой энергии на отопление</v>
      </c>
      <c r="D18" s="46" t="s">
        <v>90</v>
      </c>
      <c r="E18" s="47">
        <f ca="1">SUMIF('ЖЭУ 3'!$D$5:$AF$6,'Ленина 1'!$C18,'ЖЭУ 3'!$D$17:$AF$17)</f>
        <v>0.31</v>
      </c>
    </row>
    <row r="19" spans="2:8" ht="41.45" customHeight="1" x14ac:dyDescent="0.2">
      <c r="B19" s="44">
        <v>13</v>
      </c>
      <c r="C19" s="45" t="str">
        <f>'ЖЭУ 3'!U5</f>
        <v>Содержание, техническое обслуживание КОДПУ горячего водоснабжения</v>
      </c>
      <c r="D19" s="46" t="s">
        <v>90</v>
      </c>
      <c r="E19" s="47">
        <f ca="1">SUMIF('ЖЭУ 3'!$D$5:$AF$6,'Ленина 1'!$C19,'ЖЭУ 3'!$D$17:$AF$17)</f>
        <v>0</v>
      </c>
    </row>
    <row r="20" spans="2:8" ht="41.45" customHeight="1" x14ac:dyDescent="0.2">
      <c r="B20" s="44">
        <v>14</v>
      </c>
      <c r="C20" s="45" t="str">
        <f>'ЖЭУ 3'!V5</f>
        <v>Содержание, техническое обслуживание КОДПУ холодного водоснабжения</v>
      </c>
      <c r="D20" s="46" t="s">
        <v>90</v>
      </c>
      <c r="E20" s="47">
        <f ca="1">SUMIF('ЖЭУ 3'!$D$5:$AF$6,'Ленина 1'!$C20,'ЖЭУ 3'!$D$17:$AF$17)</f>
        <v>0.22</v>
      </c>
    </row>
    <row r="21" spans="2:8" ht="41.45" customHeight="1" x14ac:dyDescent="0.2">
      <c r="B21" s="44">
        <v>15</v>
      </c>
      <c r="C21" s="45" t="str">
        <f>'ЖЭУ 3'!W5</f>
        <v>Поверка, замена вышедшего из строя оборудования коллективног ОПУ тепловой энергии на отопление</v>
      </c>
      <c r="D21" s="46" t="s">
        <v>90</v>
      </c>
      <c r="E21" s="47">
        <f ca="1">SUMIF('ЖЭУ 3'!$D$5:$AF$6,'Ленина 1'!$C21,'ЖЭУ 3'!$D$17:$AF$17)</f>
        <v>0.21</v>
      </c>
    </row>
    <row r="22" spans="2:8" ht="41.45" customHeight="1" x14ac:dyDescent="0.2">
      <c r="B22" s="44">
        <v>16</v>
      </c>
      <c r="C22" s="45" t="str">
        <f>'ЖЭУ 3'!X5</f>
        <v>Поверка, замена вышедшего из строя оборудования коллективног ОПУ горячего водоснабжения</v>
      </c>
      <c r="D22" s="46" t="s">
        <v>90</v>
      </c>
      <c r="E22" s="47">
        <f ca="1">SUMIF('ЖЭУ 3'!$D$5:$AF$6,'Ленина 1'!$C22,'ЖЭУ 3'!$D$17:$AF$17)</f>
        <v>0</v>
      </c>
      <c r="G22" s="52">
        <f ca="1">SUM(E7:E25)</f>
        <v>38.93399999999999</v>
      </c>
      <c r="H22" s="52">
        <f ca="1">G22-'ЖЭУ 3'!AK17</f>
        <v>0</v>
      </c>
    </row>
    <row r="23" spans="2:8" ht="33" customHeight="1" x14ac:dyDescent="0.2">
      <c r="B23" s="44">
        <v>17</v>
      </c>
      <c r="C23" s="45" t="str">
        <f>'ЖЭУ 3'!Y5</f>
        <v>Поверка, замена вышедшего из строя оборудования коллективног ОПУ холодного водоснабжения</v>
      </c>
      <c r="D23" s="46" t="s">
        <v>90</v>
      </c>
      <c r="E23" s="47">
        <f ca="1">SUMIF('ЖЭУ 3'!$D$5:$AF$6,'Ленина 1'!$C23,'ЖЭУ 3'!$D$17:$AF$17)</f>
        <v>0.09</v>
      </c>
    </row>
    <row r="24" spans="2:8" ht="43.15" customHeight="1" x14ac:dyDescent="0.2">
      <c r="B24" s="44">
        <v>18</v>
      </c>
      <c r="C24" s="45" t="str">
        <f>'ЖЭУ 3'!Z5</f>
        <v>Поверка, замена вышедшего из строя оборудования коллективног ОПУ электрической энергии</v>
      </c>
      <c r="D24" s="46" t="s">
        <v>90</v>
      </c>
      <c r="E24" s="47">
        <f ca="1">SUMIF('ЖЭУ 3'!$D$5:$AF$6,'Ленина 1'!$C24,'ЖЭУ 3'!$D$17:$AF$17)</f>
        <v>0.23</v>
      </c>
    </row>
    <row r="25" spans="2:8" ht="31.9" customHeight="1" thickBot="1" x14ac:dyDescent="0.25">
      <c r="B25" s="48">
        <v>19</v>
      </c>
      <c r="C25" s="49" t="str">
        <f>'ЖЭУ 3'!AA5</f>
        <v>Техническое обслуживание систем аудидомофонной связи</v>
      </c>
      <c r="D25" s="50" t="s">
        <v>90</v>
      </c>
      <c r="E25" s="51">
        <f ca="1">SUMIF('ЖЭУ 3'!$D$5:$AF$6,'Ленина 1'!$C25,'ЖЭУ 3'!$D$17:$AF$17)</f>
        <v>0</v>
      </c>
    </row>
    <row r="26" spans="2:8" ht="11.45" customHeight="1" thickBot="1" x14ac:dyDescent="0.25">
      <c r="B26" s="116" t="s">
        <v>91</v>
      </c>
      <c r="C26" s="116"/>
    </row>
    <row r="27" spans="2:8" ht="25.15" customHeight="1" x14ac:dyDescent="0.2">
      <c r="B27" s="113" t="str">
        <f>CONCATENATE($I$5,$I$3)</f>
        <v>Расходы по коммунальным услугам, потребленным на содержание общего иммущества многоквартирного дома№ 22 ул. Менделеева</v>
      </c>
      <c r="C27" s="114"/>
      <c r="D27" s="114"/>
      <c r="E27" s="115"/>
    </row>
    <row r="28" spans="2:8" ht="25.15" customHeight="1" x14ac:dyDescent="0.2">
      <c r="B28" s="44">
        <v>1</v>
      </c>
      <c r="C28" s="45" t="str">
        <f>'ЖЭУ 3'!AB5</f>
        <v>Электрическая энергия, потребляемая при содержании общего имущества в МКД</v>
      </c>
      <c r="D28" s="46" t="s">
        <v>90</v>
      </c>
      <c r="E28" s="47">
        <f ca="1">SUMIF('ЖЭУ 3'!$D$5:$AF$6,'Ленина 1'!$C28,'ЖЭУ 3'!$D$17:$AF$17)</f>
        <v>1.1285922005409019</v>
      </c>
      <c r="G28" s="52"/>
    </row>
    <row r="29" spans="2:8" ht="25.15" customHeight="1" x14ac:dyDescent="0.2">
      <c r="B29" s="44">
        <v>2</v>
      </c>
      <c r="C29" s="45" t="str">
        <f>'ЖЭУ 3'!AC5</f>
        <v>Холодная вода, потребляемая при содержании общего имущества в МКД</v>
      </c>
      <c r="D29" s="46" t="s">
        <v>90</v>
      </c>
      <c r="E29" s="47">
        <f ca="1">SUMIF('ЖЭУ 3'!$D$5:$AF$6,'Ленина 1'!$C29,'ЖЭУ 3'!$D$17:$AF$17)</f>
        <v>0.19496765928984788</v>
      </c>
      <c r="G29" s="52">
        <f ca="1">SUM(E28:E32)</f>
        <v>2.3481048026870615</v>
      </c>
      <c r="H29" s="52">
        <f ca="1">G29-'ЖЭУ 3'!AJ17</f>
        <v>0</v>
      </c>
    </row>
    <row r="30" spans="2:8" ht="27.6" customHeight="1" x14ac:dyDescent="0.2">
      <c r="B30" s="44">
        <v>3</v>
      </c>
      <c r="C30" s="45" t="str">
        <f>'ЖЭУ 3'!AD5</f>
        <v>Холодная вода в составе горячей на содержание общего имущества МКД</v>
      </c>
      <c r="D30" s="46" t="s">
        <v>90</v>
      </c>
      <c r="E30" s="47">
        <f ca="1">SUMIF('ЖЭУ 3'!$D$5:$AF$6,'Ленина 1'!$C30,'ЖЭУ 3'!$D$17:$AF$17)</f>
        <v>0.6486671416523685</v>
      </c>
    </row>
    <row r="31" spans="2:8" ht="27.6" customHeight="1" x14ac:dyDescent="0.2">
      <c r="B31" s="44">
        <v>4</v>
      </c>
      <c r="C31" s="45" t="str">
        <f>'ЖЭУ 3'!AE5</f>
        <v>Горячая вода, потребляемая при содержании общего имущества в МКД</v>
      </c>
      <c r="D31" s="46" t="s">
        <v>90</v>
      </c>
      <c r="E31" s="47">
        <f ca="1">SUMIF('ЖЭУ 3'!$D$5:$AF$6,'Ленина 1'!$C31,'ЖЭУ 3'!$D$17:$AF$17)</f>
        <v>0</v>
      </c>
    </row>
    <row r="32" spans="2:8" ht="27.6" customHeight="1" thickBot="1" x14ac:dyDescent="0.25">
      <c r="B32" s="48">
        <v>5</v>
      </c>
      <c r="C32" s="49" t="str">
        <f>'ЖЭУ 3'!AF5</f>
        <v>Водоотведение при содержании общего имущества в МКД</v>
      </c>
      <c r="D32" s="50" t="s">
        <v>90</v>
      </c>
      <c r="E32" s="51">
        <f ca="1">SUMIF('ЖЭУ 3'!$D$5:$AF$6,'Ленина 1'!$C32,'ЖЭУ 3'!$D$17:$AF$17)</f>
        <v>0.37587780120394326</v>
      </c>
    </row>
    <row r="33" spans="2:8" ht="11.45" customHeight="1" x14ac:dyDescent="0.2">
      <c r="B33" s="53"/>
      <c r="C33" s="59"/>
      <c r="D33" s="55"/>
      <c r="E33" s="56"/>
    </row>
    <row r="34" spans="2:8" ht="21.6" customHeight="1" x14ac:dyDescent="0.2">
      <c r="B34" s="116" t="s">
        <v>92</v>
      </c>
      <c r="C34" s="116"/>
      <c r="D34" s="116"/>
      <c r="E34" s="116"/>
      <c r="G34" s="58"/>
    </row>
    <row r="35" spans="2:8" ht="15" customHeight="1" x14ac:dyDescent="0.2">
      <c r="B35" s="116"/>
      <c r="C35" s="116"/>
      <c r="D35" s="116"/>
      <c r="E35" s="116"/>
      <c r="H35" s="52"/>
    </row>
    <row r="36" spans="2:8" x14ac:dyDescent="0.2">
      <c r="B36" s="57"/>
      <c r="C36" s="59"/>
      <c r="D36" s="55"/>
      <c r="E36" s="56"/>
      <c r="G36" s="60"/>
      <c r="H36" s="61"/>
    </row>
    <row r="37" spans="2:8" x14ac:dyDescent="0.2">
      <c r="B37" s="117"/>
      <c r="C37" s="117"/>
      <c r="G37" s="60"/>
      <c r="H37" s="62"/>
    </row>
    <row r="38" spans="2:8" x14ac:dyDescent="0.2">
      <c r="B38" s="118" t="s">
        <v>93</v>
      </c>
      <c r="C38" s="118"/>
      <c r="E38" s="42" t="s">
        <v>94</v>
      </c>
      <c r="H38" s="63"/>
    </row>
  </sheetData>
  <mergeCells count="10">
    <mergeCell ref="B27:E27"/>
    <mergeCell ref="B34:E35"/>
    <mergeCell ref="B37:C37"/>
    <mergeCell ref="B38:C38"/>
    <mergeCell ref="B4:E4"/>
    <mergeCell ref="B5:B6"/>
    <mergeCell ref="C5:C6"/>
    <mergeCell ref="D5:D6"/>
    <mergeCell ref="E5:E6"/>
    <mergeCell ref="B26:C26"/>
  </mergeCells>
  <pageMargins left="0.7" right="0.7" top="0.75" bottom="0.75" header="0.3" footer="0.3"/>
  <pageSetup paperSize="9" scale="6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view="pageBreakPreview" zoomScale="75" zoomScaleNormal="100" zoomScaleSheetLayoutView="75" workbookViewId="0">
      <selection activeCell="F1" sqref="F1:F2"/>
    </sheetView>
  </sheetViews>
  <sheetFormatPr defaultColWidth="8.85546875" defaultRowHeight="12.75" x14ac:dyDescent="0.2"/>
  <cols>
    <col min="1" max="1" width="3.42578125" style="41" customWidth="1"/>
    <col min="2" max="2" width="4.85546875" style="41" customWidth="1"/>
    <col min="3" max="3" width="43.7109375" style="41" customWidth="1"/>
    <col min="4" max="4" width="9" style="41" bestFit="1" customWidth="1"/>
    <col min="5" max="5" width="12.5703125" style="42" customWidth="1"/>
    <col min="6" max="16384" width="8.85546875" style="41"/>
  </cols>
  <sheetData>
    <row r="1" spans="2:9" x14ac:dyDescent="0.2">
      <c r="F1" s="43" t="s">
        <v>85</v>
      </c>
    </row>
    <row r="2" spans="2:9" ht="15" x14ac:dyDescent="0.35">
      <c r="F2" s="90" t="s">
        <v>139</v>
      </c>
    </row>
    <row r="3" spans="2:9" ht="13.5" thickBot="1" x14ac:dyDescent="0.25">
      <c r="I3" s="41" t="s">
        <v>107</v>
      </c>
    </row>
    <row r="4" spans="2:9" ht="24" customHeight="1" x14ac:dyDescent="0.2">
      <c r="B4" s="119" t="str">
        <f>CONCATENATE($I$4,$I$3)</f>
        <v>Размер платы на содержание общего имущества многоквартирного дома№ 24 ул. Менделеева</v>
      </c>
      <c r="C4" s="120"/>
      <c r="D4" s="120"/>
      <c r="E4" s="121"/>
      <c r="I4" s="41" t="s">
        <v>96</v>
      </c>
    </row>
    <row r="5" spans="2:9" ht="13.9" customHeight="1" x14ac:dyDescent="0.2">
      <c r="B5" s="122" t="s">
        <v>1</v>
      </c>
      <c r="C5" s="123" t="s">
        <v>87</v>
      </c>
      <c r="D5" s="124" t="s">
        <v>88</v>
      </c>
      <c r="E5" s="125" t="s">
        <v>89</v>
      </c>
      <c r="I5" s="41" t="s">
        <v>97</v>
      </c>
    </row>
    <row r="6" spans="2:9" x14ac:dyDescent="0.2">
      <c r="B6" s="122"/>
      <c r="C6" s="123"/>
      <c r="D6" s="124"/>
      <c r="E6" s="125"/>
    </row>
    <row r="7" spans="2:9" ht="41.45" customHeight="1" x14ac:dyDescent="0.2">
      <c r="B7" s="44">
        <v>1</v>
      </c>
      <c r="C7" s="45" t="str">
        <f>'ЖЭУ 3'!D5</f>
        <v xml:space="preserve">Управление  многоквартирным домом   </v>
      </c>
      <c r="D7" s="46" t="s">
        <v>90</v>
      </c>
      <c r="E7" s="47">
        <f ca="1">SUMIF('ЖЭУ 3'!$D$5:$AF$6,'Ленина 1'!$C7,'ЖЭУ 3'!$D$18:$AF$18)</f>
        <v>5.04</v>
      </c>
    </row>
    <row r="8" spans="2:9" ht="41.45" customHeight="1" x14ac:dyDescent="0.2">
      <c r="B8" s="44">
        <v>2</v>
      </c>
      <c r="C8" s="45" t="str">
        <f>'ЖЭУ 3'!E5</f>
        <v>Уборка и санитарно-гигиеническая очистка 
лестничных клеток</v>
      </c>
      <c r="D8" s="46" t="s">
        <v>90</v>
      </c>
      <c r="E8" s="47">
        <f ca="1">SUMIF('ЖЭУ 3'!$D$5:$AF$6,'Ленина 1'!$C8,'ЖЭУ 3'!$D$18:$AF$18)</f>
        <v>5.76</v>
      </c>
    </row>
    <row r="9" spans="2:9" ht="41.45" customHeight="1" x14ac:dyDescent="0.2">
      <c r="B9" s="44">
        <v>3</v>
      </c>
      <c r="C9" s="45" t="str">
        <f>'ЖЭУ 3'!F5</f>
        <v>Уборка и санитарно-гигиеническая очистка земельного участка и контейнерных площадок</v>
      </c>
      <c r="D9" s="46" t="s">
        <v>90</v>
      </c>
      <c r="E9" s="47">
        <f ca="1">SUMIF('ЖЭУ 3'!$D$5:$AF$6,'Ленина 1'!$C9,'ЖЭУ 3'!$D$18:$AF$18)</f>
        <v>6.31</v>
      </c>
    </row>
    <row r="10" spans="2:9" ht="41.45" customHeight="1" x14ac:dyDescent="0.2">
      <c r="B10" s="44">
        <v>4</v>
      </c>
      <c r="C10" s="45" t="str">
        <f>'ЖЭУ 3'!G5</f>
        <v>Содержание и техническое обслуживание конструктивных элементов</v>
      </c>
      <c r="D10" s="46" t="s">
        <v>90</v>
      </c>
      <c r="E10" s="47">
        <f ca="1">SUMIF('ЖЭУ 3'!$D$5:$AF$6,'Ленина 1'!$C10,'ЖЭУ 3'!$D$18:$AF$18)</f>
        <v>2.19</v>
      </c>
    </row>
    <row r="11" spans="2:9" ht="41.45" customHeight="1" x14ac:dyDescent="0.2">
      <c r="B11" s="44">
        <v>5</v>
      </c>
      <c r="C11" s="45" t="str">
        <f>'ЖЭУ 3'!H5</f>
        <v>Содержание и техническое обслуживание внутридомовых систем холодного и горячего водоснабжения, отопления и канализации</v>
      </c>
      <c r="D11" s="46" t="s">
        <v>90</v>
      </c>
      <c r="E11" s="47">
        <f ca="1">SUMIF('ЖЭУ 3'!$D$5:$AF$6,'Ленина 1'!$C11,'ЖЭУ 3'!$D$18:$AF$18)</f>
        <v>3</v>
      </c>
    </row>
    <row r="12" spans="2:9" ht="41.45" customHeight="1" x14ac:dyDescent="0.2">
      <c r="B12" s="44">
        <v>6</v>
      </c>
      <c r="C12" s="45" t="str">
        <f>'ЖЭУ 3'!I5</f>
        <v>Содержание и техническое обслуживание внутридомовых систем электроснабжения</v>
      </c>
      <c r="D12" s="46" t="s">
        <v>90</v>
      </c>
      <c r="E12" s="47">
        <f ca="1">SUMIF('ЖЭУ 3'!$D$5:$AF$6,'Ленина 1'!$C12,'ЖЭУ 3'!$D$18:$AF$18)</f>
        <v>2.81</v>
      </c>
    </row>
    <row r="13" spans="2:9" ht="41.45" customHeight="1" x14ac:dyDescent="0.2">
      <c r="B13" s="44">
        <v>7</v>
      </c>
      <c r="C13" s="45" t="str">
        <f>'ЖЭУ 3'!J5</f>
        <v>Текущий ремонт МКД</v>
      </c>
      <c r="D13" s="46" t="s">
        <v>90</v>
      </c>
      <c r="E13" s="47">
        <f ca="1">SUMIF('ЖЭУ 3'!$D$5:$AF$6,'Ленина 1'!$C13,'ЖЭУ 3'!$D$18:$AF$18)</f>
        <v>10.3</v>
      </c>
    </row>
    <row r="14" spans="2:9" ht="41.45" customHeight="1" x14ac:dyDescent="0.2">
      <c r="B14" s="44">
        <v>8</v>
      </c>
      <c r="C14" s="45" t="str">
        <f>'ЖЭУ 3'!P5</f>
        <v>Дератизация, дезинсекция помещений</v>
      </c>
      <c r="D14" s="46" t="s">
        <v>90</v>
      </c>
      <c r="E14" s="47">
        <f ca="1">SUMIF('ЖЭУ 3'!$D$5:$AF$6,'Ленина 1'!$C14,'ЖЭУ 3'!$D$18:$AF$18)</f>
        <v>0.11</v>
      </c>
    </row>
    <row r="15" spans="2:9" ht="41.45" customHeight="1" x14ac:dyDescent="0.2">
      <c r="B15" s="44">
        <v>9</v>
      </c>
      <c r="C15" s="45" t="str">
        <f>'ЖЭУ 3'!Q5</f>
        <v>Благоустройство придомовой территории</v>
      </c>
      <c r="D15" s="46" t="s">
        <v>90</v>
      </c>
      <c r="E15" s="47">
        <f ca="1">SUMIF('ЖЭУ 3'!$D$5:$AF$6,'Ленина 1'!$C15,'ЖЭУ 3'!$D$18:$AF$18)</f>
        <v>0.37</v>
      </c>
    </row>
    <row r="16" spans="2:9" ht="41.45" customHeight="1" x14ac:dyDescent="0.2">
      <c r="B16" s="44">
        <v>10</v>
      </c>
      <c r="C16" s="45" t="str">
        <f>'ЖЭУ 3'!R5</f>
        <v>Сбор и вывоз твердых коммунальных отходов</v>
      </c>
      <c r="D16" s="46" t="s">
        <v>90</v>
      </c>
      <c r="E16" s="47">
        <f ca="1">SUMIF('ЖЭУ 3'!$D$5:$AF$6,'Ленина 1'!$C16,'ЖЭУ 3'!$D$18:$AF$18)</f>
        <v>1.23</v>
      </c>
    </row>
    <row r="17" spans="2:8" ht="41.45" customHeight="1" x14ac:dyDescent="0.2">
      <c r="B17" s="44">
        <v>11</v>
      </c>
      <c r="C17" s="45" t="str">
        <f>'ЖЭУ 3'!S5</f>
        <v>Механизированная уборка территорий от снега</v>
      </c>
      <c r="D17" s="46" t="s">
        <v>90</v>
      </c>
      <c r="E17" s="47">
        <f ca="1">SUMIF('ЖЭУ 3'!$D$5:$AF$6,'Ленина 1'!$C17,'ЖЭУ 3'!$D$18:$AF$18)</f>
        <v>0.6</v>
      </c>
    </row>
    <row r="18" spans="2:8" ht="41.45" customHeight="1" x14ac:dyDescent="0.2">
      <c r="B18" s="44">
        <v>12</v>
      </c>
      <c r="C18" s="45" t="str">
        <f>'ЖЭУ 3'!T5</f>
        <v>Содержание, техническое обслуживание КОДПУ тепловой энергии на отопление</v>
      </c>
      <c r="D18" s="46" t="s">
        <v>90</v>
      </c>
      <c r="E18" s="47">
        <f ca="1">SUMIF('ЖЭУ 3'!$D$5:$AF$6,'Ленина 1'!$C18,'ЖЭУ 3'!$D$18:$AF$18)</f>
        <v>0</v>
      </c>
    </row>
    <row r="19" spans="2:8" ht="41.45" customHeight="1" x14ac:dyDescent="0.2">
      <c r="B19" s="44">
        <v>13</v>
      </c>
      <c r="C19" s="45" t="str">
        <f>'ЖЭУ 3'!U5</f>
        <v>Содержание, техническое обслуживание КОДПУ горячего водоснабжения</v>
      </c>
      <c r="D19" s="46" t="s">
        <v>90</v>
      </c>
      <c r="E19" s="47">
        <f ca="1">SUMIF('ЖЭУ 3'!$D$5:$AF$6,'Ленина 1'!$C19,'ЖЭУ 3'!$D$18:$AF$18)</f>
        <v>0</v>
      </c>
    </row>
    <row r="20" spans="2:8" ht="41.45" customHeight="1" x14ac:dyDescent="0.2">
      <c r="B20" s="44">
        <v>14</v>
      </c>
      <c r="C20" s="45" t="str">
        <f>'ЖЭУ 3'!V5</f>
        <v>Содержание, техническое обслуживание КОДПУ холодного водоснабжения</v>
      </c>
      <c r="D20" s="46" t="s">
        <v>90</v>
      </c>
      <c r="E20" s="47">
        <f ca="1">SUMIF('ЖЭУ 3'!$D$5:$AF$6,'Ленина 1'!$C20,'ЖЭУ 3'!$D$18:$AF$18)</f>
        <v>0</v>
      </c>
    </row>
    <row r="21" spans="2:8" ht="41.45" customHeight="1" x14ac:dyDescent="0.2">
      <c r="B21" s="44">
        <v>15</v>
      </c>
      <c r="C21" s="45" t="str">
        <f>'ЖЭУ 3'!W5</f>
        <v>Поверка, замена вышедшего из строя оборудования коллективног ОПУ тепловой энергии на отопление</v>
      </c>
      <c r="D21" s="46" t="s">
        <v>90</v>
      </c>
      <c r="E21" s="47">
        <f ca="1">SUMIF('ЖЭУ 3'!$D$5:$AF$6,'Ленина 1'!$C21,'ЖЭУ 3'!$D$18:$AF$18)</f>
        <v>0</v>
      </c>
    </row>
    <row r="22" spans="2:8" ht="41.45" customHeight="1" x14ac:dyDescent="0.2">
      <c r="B22" s="44">
        <v>16</v>
      </c>
      <c r="C22" s="45" t="str">
        <f>'ЖЭУ 3'!X5</f>
        <v>Поверка, замена вышедшего из строя оборудования коллективног ОПУ горячего водоснабжения</v>
      </c>
      <c r="D22" s="46" t="s">
        <v>90</v>
      </c>
      <c r="E22" s="47">
        <f ca="1">SUMIF('ЖЭУ 3'!$D$5:$AF$6,'Ленина 1'!$C22,'ЖЭУ 3'!$D$18:$AF$18)</f>
        <v>0</v>
      </c>
      <c r="G22" s="52">
        <f ca="1">SUM(E7:E25)</f>
        <v>37.949999999999989</v>
      </c>
      <c r="H22" s="52">
        <f ca="1">G22-'ЖЭУ 3'!AK18</f>
        <v>0</v>
      </c>
    </row>
    <row r="23" spans="2:8" ht="33" customHeight="1" x14ac:dyDescent="0.2">
      <c r="B23" s="44">
        <v>17</v>
      </c>
      <c r="C23" s="45" t="str">
        <f>'ЖЭУ 3'!Y5</f>
        <v>Поверка, замена вышедшего из строя оборудования коллективног ОПУ холодного водоснабжения</v>
      </c>
      <c r="D23" s="46" t="s">
        <v>90</v>
      </c>
      <c r="E23" s="47">
        <f ca="1">SUMIF('ЖЭУ 3'!$D$5:$AF$6,'Ленина 1'!$C23,'ЖЭУ 3'!$D$18:$AF$18)</f>
        <v>0</v>
      </c>
    </row>
    <row r="24" spans="2:8" ht="43.15" customHeight="1" x14ac:dyDescent="0.2">
      <c r="B24" s="44">
        <v>18</v>
      </c>
      <c r="C24" s="45" t="str">
        <f>'ЖЭУ 3'!Z5</f>
        <v>Поверка, замена вышедшего из строя оборудования коллективног ОПУ электрической энергии</v>
      </c>
      <c r="D24" s="46" t="s">
        <v>90</v>
      </c>
      <c r="E24" s="47">
        <f ca="1">SUMIF('ЖЭУ 3'!$D$5:$AF$6,'Ленина 1'!$C24,'ЖЭУ 3'!$D$18:$AF$18)</f>
        <v>0.23</v>
      </c>
    </row>
    <row r="25" spans="2:8" ht="31.9" customHeight="1" thickBot="1" x14ac:dyDescent="0.25">
      <c r="B25" s="48">
        <v>19</v>
      </c>
      <c r="C25" s="49" t="str">
        <f>'ЖЭУ 3'!AA5</f>
        <v>Техническое обслуживание систем аудидомофонной связи</v>
      </c>
      <c r="D25" s="50" t="s">
        <v>90</v>
      </c>
      <c r="E25" s="51">
        <f ca="1">SUMIF('ЖЭУ 3'!$D$5:$AF$6,'Ленина 1'!$C25,'ЖЭУ 3'!$D$18:$AF$18)</f>
        <v>0</v>
      </c>
    </row>
    <row r="26" spans="2:8" ht="11.45" customHeight="1" thickBot="1" x14ac:dyDescent="0.25">
      <c r="B26" s="116" t="s">
        <v>91</v>
      </c>
      <c r="C26" s="116"/>
    </row>
    <row r="27" spans="2:8" ht="25.15" customHeight="1" x14ac:dyDescent="0.2">
      <c r="B27" s="113" t="str">
        <f>CONCATENATE($I$5,$I$3)</f>
        <v>Расходы по коммунальным услугам, потребленным на содержание общего иммущества многоквартирного дома№ 24 ул. Менделеева</v>
      </c>
      <c r="C27" s="114"/>
      <c r="D27" s="114"/>
      <c r="E27" s="115"/>
    </row>
    <row r="28" spans="2:8" ht="25.15" customHeight="1" x14ac:dyDescent="0.2">
      <c r="B28" s="44">
        <v>1</v>
      </c>
      <c r="C28" s="45" t="str">
        <f>'ЖЭУ 3'!AB5</f>
        <v>Электрическая энергия, потребляемая при содержании общего имущества в МКД</v>
      </c>
      <c r="D28" s="46" t="s">
        <v>90</v>
      </c>
      <c r="E28" s="47">
        <f ca="1">SUMIF('ЖЭУ 3'!$D$5:$AF$6,'Ленина 1'!$C28,'ЖЭУ 3'!$D$17:$AF$17)</f>
        <v>1.1285922005409019</v>
      </c>
      <c r="G28" s="52"/>
    </row>
    <row r="29" spans="2:8" ht="25.15" customHeight="1" x14ac:dyDescent="0.2">
      <c r="B29" s="44">
        <v>2</v>
      </c>
      <c r="C29" s="45" t="str">
        <f>'ЖЭУ 3'!AC5</f>
        <v>Холодная вода, потребляемая при содержании общего имущества в МКД</v>
      </c>
      <c r="D29" s="46" t="s">
        <v>90</v>
      </c>
      <c r="E29" s="47">
        <f ca="1">SUMIF('ЖЭУ 3'!$D$5:$AF$6,'Ленина 1'!$C29,'ЖЭУ 3'!$D$18:$AF$18)</f>
        <v>0.20304923899016705</v>
      </c>
      <c r="G29" s="52">
        <f ca="1">SUM(E28:E32)</f>
        <v>2.3986546647805285</v>
      </c>
      <c r="H29" s="52">
        <f ca="1">G29-'ЖЭУ 3'!AJ18</f>
        <v>-1.4181023254514091E-2</v>
      </c>
    </row>
    <row r="30" spans="2:8" ht="27.6" customHeight="1" x14ac:dyDescent="0.2">
      <c r="B30" s="44">
        <v>3</v>
      </c>
      <c r="C30" s="45" t="str">
        <f>'ЖЭУ 3'!AD5</f>
        <v>Холодная вода в составе горячей на содержание общего имущества МКД</v>
      </c>
      <c r="D30" s="46" t="s">
        <v>90</v>
      </c>
      <c r="E30" s="47">
        <f ca="1">SUMIF('ЖЭУ 3'!$D$5:$AF$6,'Ленина 1'!$C30,'ЖЭУ 3'!$D$18:$AF$18)</f>
        <v>0.67555496101346812</v>
      </c>
    </row>
    <row r="31" spans="2:8" ht="27.6" customHeight="1" x14ac:dyDescent="0.2">
      <c r="B31" s="44">
        <v>4</v>
      </c>
      <c r="C31" s="45" t="str">
        <f>'ЖЭУ 3'!AE5</f>
        <v>Горячая вода, потребляемая при содержании общего имущества в МКД</v>
      </c>
      <c r="D31" s="46" t="s">
        <v>90</v>
      </c>
      <c r="E31" s="47">
        <f ca="1">SUMIF('ЖЭУ 3'!$D$5:$AF$6,'Ленина 1'!$C31,'ЖЭУ 3'!$D$18:$AF$18)</f>
        <v>0</v>
      </c>
    </row>
    <row r="32" spans="2:8" ht="27.6" customHeight="1" thickBot="1" x14ac:dyDescent="0.25">
      <c r="B32" s="48">
        <v>5</v>
      </c>
      <c r="C32" s="49" t="str">
        <f>'ЖЭУ 3'!AF5</f>
        <v>Водоотведение при содержании общего имущества в МКД</v>
      </c>
      <c r="D32" s="50" t="s">
        <v>90</v>
      </c>
      <c r="E32" s="51">
        <f ca="1">SUMIF('ЖЭУ 3'!$D$5:$AF$6,'Ленина 1'!$C32,'ЖЭУ 3'!$D$18:$AF$18)</f>
        <v>0.39145826423599123</v>
      </c>
    </row>
    <row r="33" spans="2:8" ht="11.45" customHeight="1" x14ac:dyDescent="0.2">
      <c r="B33" s="53"/>
      <c r="C33" s="59"/>
      <c r="D33" s="55"/>
      <c r="E33" s="56"/>
    </row>
    <row r="34" spans="2:8" ht="21.6" customHeight="1" x14ac:dyDescent="0.2">
      <c r="B34" s="116" t="s">
        <v>92</v>
      </c>
      <c r="C34" s="116"/>
      <c r="D34" s="116"/>
      <c r="E34" s="116"/>
      <c r="G34" s="58"/>
    </row>
    <row r="35" spans="2:8" ht="15" customHeight="1" x14ac:dyDescent="0.2">
      <c r="B35" s="116"/>
      <c r="C35" s="116"/>
      <c r="D35" s="116"/>
      <c r="E35" s="116"/>
      <c r="H35" s="52"/>
    </row>
    <row r="36" spans="2:8" x14ac:dyDescent="0.2">
      <c r="B36" s="57"/>
      <c r="C36" s="59"/>
      <c r="D36" s="55"/>
      <c r="E36" s="56"/>
      <c r="G36" s="60"/>
      <c r="H36" s="61"/>
    </row>
    <row r="37" spans="2:8" x14ac:dyDescent="0.2">
      <c r="B37" s="117"/>
      <c r="C37" s="117"/>
      <c r="G37" s="60"/>
      <c r="H37" s="62"/>
    </row>
    <row r="38" spans="2:8" x14ac:dyDescent="0.2">
      <c r="B38" s="118" t="s">
        <v>93</v>
      </c>
      <c r="C38" s="118"/>
      <c r="E38" s="42" t="s">
        <v>94</v>
      </c>
      <c r="H38" s="63"/>
    </row>
  </sheetData>
  <mergeCells count="10">
    <mergeCell ref="B27:E27"/>
    <mergeCell ref="B34:E35"/>
    <mergeCell ref="B37:C37"/>
    <mergeCell ref="B38:C38"/>
    <mergeCell ref="B4:E4"/>
    <mergeCell ref="B5:B6"/>
    <mergeCell ref="C5:C6"/>
    <mergeCell ref="D5:D6"/>
    <mergeCell ref="E5:E6"/>
    <mergeCell ref="B26:C26"/>
  </mergeCells>
  <pageMargins left="0.7" right="0.7" top="0.75" bottom="0.75" header="0.3" footer="0.3"/>
  <pageSetup paperSize="9" scale="6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view="pageBreakPreview" zoomScale="75" zoomScaleNormal="100" zoomScaleSheetLayoutView="75" workbookViewId="0">
      <selection activeCell="F1" sqref="F1:F2"/>
    </sheetView>
  </sheetViews>
  <sheetFormatPr defaultColWidth="8.85546875" defaultRowHeight="12.75" x14ac:dyDescent="0.2"/>
  <cols>
    <col min="1" max="1" width="3.42578125" style="41" customWidth="1"/>
    <col min="2" max="2" width="4.85546875" style="41" customWidth="1"/>
    <col min="3" max="3" width="43.7109375" style="41" customWidth="1"/>
    <col min="4" max="4" width="9" style="41" bestFit="1" customWidth="1"/>
    <col min="5" max="5" width="12.5703125" style="42" customWidth="1"/>
    <col min="6" max="16384" width="8.85546875" style="41"/>
  </cols>
  <sheetData>
    <row r="1" spans="2:9" x14ac:dyDescent="0.2">
      <c r="F1" s="43" t="s">
        <v>85</v>
      </c>
    </row>
    <row r="2" spans="2:9" ht="15" x14ac:dyDescent="0.35">
      <c r="F2" s="90" t="s">
        <v>139</v>
      </c>
    </row>
    <row r="3" spans="2:9" ht="13.5" thickBot="1" x14ac:dyDescent="0.25">
      <c r="I3" s="41" t="s">
        <v>108</v>
      </c>
    </row>
    <row r="4" spans="2:9" ht="24" customHeight="1" x14ac:dyDescent="0.2">
      <c r="B4" s="119" t="str">
        <f>CONCATENATE($I$4,$I$3)</f>
        <v>Размер платы на содержание общего имущества многоквартирного дома№ 24А ул. Менделеева</v>
      </c>
      <c r="C4" s="120"/>
      <c r="D4" s="120"/>
      <c r="E4" s="121"/>
      <c r="I4" s="41" t="s">
        <v>96</v>
      </c>
    </row>
    <row r="5" spans="2:9" ht="13.9" customHeight="1" x14ac:dyDescent="0.2">
      <c r="B5" s="122" t="s">
        <v>1</v>
      </c>
      <c r="C5" s="123" t="s">
        <v>87</v>
      </c>
      <c r="D5" s="124" t="s">
        <v>88</v>
      </c>
      <c r="E5" s="125" t="s">
        <v>89</v>
      </c>
      <c r="I5" s="41" t="s">
        <v>97</v>
      </c>
    </row>
    <row r="6" spans="2:9" x14ac:dyDescent="0.2">
      <c r="B6" s="122"/>
      <c r="C6" s="123"/>
      <c r="D6" s="124"/>
      <c r="E6" s="125"/>
    </row>
    <row r="7" spans="2:9" ht="41.45" customHeight="1" x14ac:dyDescent="0.2">
      <c r="B7" s="44">
        <v>1</v>
      </c>
      <c r="C7" s="45" t="str">
        <f>'ЖЭУ 3'!D5</f>
        <v xml:space="preserve">Управление  многоквартирным домом   </v>
      </c>
      <c r="D7" s="46" t="s">
        <v>90</v>
      </c>
      <c r="E7" s="47">
        <f ca="1">SUMIF('ЖЭУ 3'!$D$5:$AF$6,'Ленина 1'!$C7,'ЖЭУ 3'!$D$19:$AF$19)</f>
        <v>5.04</v>
      </c>
    </row>
    <row r="8" spans="2:9" ht="41.45" customHeight="1" x14ac:dyDescent="0.2">
      <c r="B8" s="44">
        <v>2</v>
      </c>
      <c r="C8" s="45" t="str">
        <f>'ЖЭУ 3'!E5</f>
        <v>Уборка и санитарно-гигиеническая очистка 
лестничных клеток</v>
      </c>
      <c r="D8" s="46" t="s">
        <v>90</v>
      </c>
      <c r="E8" s="47">
        <f ca="1">SUMIF('ЖЭУ 3'!$D$5:$AF$6,'Ленина 1'!$C8,'ЖЭУ 3'!$D$19:$AF$19)</f>
        <v>5.03</v>
      </c>
    </row>
    <row r="9" spans="2:9" ht="41.45" customHeight="1" x14ac:dyDescent="0.2">
      <c r="B9" s="44">
        <v>3</v>
      </c>
      <c r="C9" s="45" t="str">
        <f>'ЖЭУ 3'!F5</f>
        <v>Уборка и санитарно-гигиеническая очистка земельного участка и контейнерных площадок</v>
      </c>
      <c r="D9" s="46" t="s">
        <v>90</v>
      </c>
      <c r="E9" s="47">
        <f ca="1">SUMIF('ЖЭУ 3'!$D$5:$AF$6,'Ленина 1'!$C9,'ЖЭУ 3'!$D$19:$AF$19)</f>
        <v>2.3199999999999998</v>
      </c>
    </row>
    <row r="10" spans="2:9" ht="41.45" customHeight="1" x14ac:dyDescent="0.2">
      <c r="B10" s="44">
        <v>4</v>
      </c>
      <c r="C10" s="45" t="str">
        <f>'ЖЭУ 3'!G5</f>
        <v>Содержание и техническое обслуживание конструктивных элементов</v>
      </c>
      <c r="D10" s="46" t="s">
        <v>90</v>
      </c>
      <c r="E10" s="47">
        <f ca="1">SUMIF('ЖЭУ 3'!$D$5:$AF$6,'Ленина 1'!$C10,'ЖЭУ 3'!$D$19:$AF$19)</f>
        <v>3.08</v>
      </c>
    </row>
    <row r="11" spans="2:9" ht="41.45" customHeight="1" x14ac:dyDescent="0.2">
      <c r="B11" s="44">
        <v>5</v>
      </c>
      <c r="C11" s="45" t="str">
        <f>'ЖЭУ 3'!H5</f>
        <v>Содержание и техническое обслуживание внутридомовых систем холодного и горячего водоснабжения, отопления и канализации</v>
      </c>
      <c r="D11" s="46" t="s">
        <v>90</v>
      </c>
      <c r="E11" s="47">
        <f ca="1">SUMIF('ЖЭУ 3'!$D$5:$AF$6,'Ленина 1'!$C11,'ЖЭУ 3'!$D$19:$AF$19)</f>
        <v>3.48</v>
      </c>
    </row>
    <row r="12" spans="2:9" ht="41.45" customHeight="1" x14ac:dyDescent="0.2">
      <c r="B12" s="44">
        <v>6</v>
      </c>
      <c r="C12" s="45" t="str">
        <f>'ЖЭУ 3'!I5</f>
        <v>Содержание и техническое обслуживание внутридомовых систем электроснабжения</v>
      </c>
      <c r="D12" s="46" t="s">
        <v>90</v>
      </c>
      <c r="E12" s="47">
        <f ca="1">SUMIF('ЖЭУ 3'!$D$5:$AF$6,'Ленина 1'!$C12,'ЖЭУ 3'!$D$19:$AF$19)</f>
        <v>2.86</v>
      </c>
    </row>
    <row r="13" spans="2:9" ht="41.45" customHeight="1" x14ac:dyDescent="0.2">
      <c r="B13" s="44">
        <v>7</v>
      </c>
      <c r="C13" s="45" t="str">
        <f>'ЖЭУ 3'!J5</f>
        <v>Текущий ремонт МКД</v>
      </c>
      <c r="D13" s="46" t="s">
        <v>90</v>
      </c>
      <c r="E13" s="47">
        <f ca="1">SUMIF('ЖЭУ 3'!$D$5:$AF$6,'Ленина 1'!$C13,'ЖЭУ 3'!$D$19:$AF$19)</f>
        <v>13.149999999999999</v>
      </c>
    </row>
    <row r="14" spans="2:9" ht="41.45" customHeight="1" x14ac:dyDescent="0.2">
      <c r="B14" s="44">
        <v>8</v>
      </c>
      <c r="C14" s="45" t="str">
        <f>'ЖЭУ 3'!P5</f>
        <v>Дератизация, дезинсекция помещений</v>
      </c>
      <c r="D14" s="46" t="s">
        <v>90</v>
      </c>
      <c r="E14" s="47">
        <f ca="1">SUMIF('ЖЭУ 3'!$D$5:$AF$6,'Ленина 1'!$C14,'ЖЭУ 3'!$D$19:$AF$19)</f>
        <v>0.11</v>
      </c>
    </row>
    <row r="15" spans="2:9" ht="41.45" customHeight="1" x14ac:dyDescent="0.2">
      <c r="B15" s="44">
        <v>9</v>
      </c>
      <c r="C15" s="45" t="str">
        <f>'ЖЭУ 3'!Q5</f>
        <v>Благоустройство придомовой территории</v>
      </c>
      <c r="D15" s="46" t="s">
        <v>90</v>
      </c>
      <c r="E15" s="47">
        <f ca="1">SUMIF('ЖЭУ 3'!$D$5:$AF$6,'Ленина 1'!$C15,'ЖЭУ 3'!$D$19:$AF$19)</f>
        <v>0.37</v>
      </c>
    </row>
    <row r="16" spans="2:9" ht="41.45" customHeight="1" x14ac:dyDescent="0.2">
      <c r="B16" s="44">
        <v>10</v>
      </c>
      <c r="C16" s="45" t="str">
        <f>'ЖЭУ 3'!R5</f>
        <v>Сбор и вывоз твердых коммунальных отходов</v>
      </c>
      <c r="D16" s="46" t="s">
        <v>90</v>
      </c>
      <c r="E16" s="47">
        <f ca="1">SUMIF('ЖЭУ 3'!$D$5:$AF$6,'Ленина 1'!$C16,'ЖЭУ 3'!$D$19:$AF$19)</f>
        <v>1.28</v>
      </c>
    </row>
    <row r="17" spans="2:8" ht="41.45" customHeight="1" x14ac:dyDescent="0.2">
      <c r="B17" s="44">
        <v>11</v>
      </c>
      <c r="C17" s="45" t="str">
        <f>'ЖЭУ 3'!S5</f>
        <v>Механизированная уборка территорий от снега</v>
      </c>
      <c r="D17" s="46" t="s">
        <v>90</v>
      </c>
      <c r="E17" s="47">
        <f ca="1">SUMIF('ЖЭУ 3'!$D$5:$AF$6,'Ленина 1'!$C17,'ЖЭУ 3'!$D$19:$AF$19)</f>
        <v>0.81</v>
      </c>
    </row>
    <row r="18" spans="2:8" ht="41.45" customHeight="1" x14ac:dyDescent="0.2">
      <c r="B18" s="44">
        <v>12</v>
      </c>
      <c r="C18" s="45" t="str">
        <f>'ЖЭУ 3'!T5</f>
        <v>Содержание, техническое обслуживание КОДПУ тепловой энергии на отопление</v>
      </c>
      <c r="D18" s="46" t="s">
        <v>90</v>
      </c>
      <c r="E18" s="47">
        <f ca="1">SUMIF('ЖЭУ 3'!$D$5:$AF$6,'Ленина 1'!$C18,'ЖЭУ 3'!$D$19:$AF$19)</f>
        <v>0</v>
      </c>
    </row>
    <row r="19" spans="2:8" ht="41.45" customHeight="1" x14ac:dyDescent="0.2">
      <c r="B19" s="44">
        <v>13</v>
      </c>
      <c r="C19" s="45" t="str">
        <f>'ЖЭУ 3'!U5</f>
        <v>Содержание, техническое обслуживание КОДПУ горячего водоснабжения</v>
      </c>
      <c r="D19" s="46" t="s">
        <v>90</v>
      </c>
      <c r="E19" s="47">
        <f ca="1">SUMIF('ЖЭУ 3'!$D$5:$AF$6,'Ленина 1'!$C19,'ЖЭУ 3'!$D$19:$AF$19)</f>
        <v>0</v>
      </c>
    </row>
    <row r="20" spans="2:8" ht="41.45" customHeight="1" x14ac:dyDescent="0.2">
      <c r="B20" s="44">
        <v>14</v>
      </c>
      <c r="C20" s="45" t="str">
        <f>'ЖЭУ 3'!V5</f>
        <v>Содержание, техническое обслуживание КОДПУ холодного водоснабжения</v>
      </c>
      <c r="D20" s="46" t="s">
        <v>90</v>
      </c>
      <c r="E20" s="47">
        <f ca="1">SUMIF('ЖЭУ 3'!$D$5:$AF$6,'Ленина 1'!$C20,'ЖЭУ 3'!$D$19:$AF$19)</f>
        <v>0</v>
      </c>
    </row>
    <row r="21" spans="2:8" ht="41.45" customHeight="1" x14ac:dyDescent="0.2">
      <c r="B21" s="44">
        <v>15</v>
      </c>
      <c r="C21" s="45" t="str">
        <f>'ЖЭУ 3'!W5</f>
        <v>Поверка, замена вышедшего из строя оборудования коллективног ОПУ тепловой энергии на отопление</v>
      </c>
      <c r="D21" s="46" t="s">
        <v>90</v>
      </c>
      <c r="E21" s="47">
        <f ca="1">SUMIF('ЖЭУ 3'!$D$5:$AF$6,'Ленина 1'!$C21,'ЖЭУ 3'!$D$19:$AF$19)</f>
        <v>0</v>
      </c>
    </row>
    <row r="22" spans="2:8" ht="41.45" customHeight="1" x14ac:dyDescent="0.2">
      <c r="B22" s="44">
        <v>16</v>
      </c>
      <c r="C22" s="45" t="str">
        <f>'ЖЭУ 3'!X5</f>
        <v>Поверка, замена вышедшего из строя оборудования коллективног ОПУ горячего водоснабжения</v>
      </c>
      <c r="D22" s="46" t="s">
        <v>90</v>
      </c>
      <c r="E22" s="47">
        <f ca="1">SUMIF('ЖЭУ 3'!$D$5:$AF$6,'Ленина 1'!$C22,'ЖЭУ 3'!$D$19:$AF$19)</f>
        <v>0</v>
      </c>
      <c r="G22" s="52">
        <f ca="1">SUM(E7:E25)</f>
        <v>38.229999999999997</v>
      </c>
      <c r="H22" s="52">
        <f ca="1">G22-'ЖЭУ 3'!AK19</f>
        <v>0</v>
      </c>
    </row>
    <row r="23" spans="2:8" ht="33" customHeight="1" x14ac:dyDescent="0.2">
      <c r="B23" s="44">
        <v>17</v>
      </c>
      <c r="C23" s="45" t="str">
        <f>'ЖЭУ 3'!Y5</f>
        <v>Поверка, замена вышедшего из строя оборудования коллективног ОПУ холодного водоснабжения</v>
      </c>
      <c r="D23" s="46" t="s">
        <v>90</v>
      </c>
      <c r="E23" s="47">
        <f ca="1">SUMIF('ЖЭУ 3'!$D$5:$AF$6,'Ленина 1'!$C23,'ЖЭУ 3'!$D$19:$AF$19)</f>
        <v>0</v>
      </c>
    </row>
    <row r="24" spans="2:8" ht="43.15" customHeight="1" x14ac:dyDescent="0.2">
      <c r="B24" s="44">
        <v>18</v>
      </c>
      <c r="C24" s="45" t="str">
        <f>'ЖЭУ 3'!Z5</f>
        <v>Поверка, замена вышедшего из строя оборудования коллективног ОПУ электрической энергии</v>
      </c>
      <c r="D24" s="46" t="s">
        <v>90</v>
      </c>
      <c r="E24" s="47">
        <f ca="1">SUMIF('ЖЭУ 3'!$D$5:$AF$6,'Ленина 1'!$C24,'ЖЭУ 3'!$D$19:$AF$19)</f>
        <v>0.7</v>
      </c>
    </row>
    <row r="25" spans="2:8" ht="31.9" customHeight="1" thickBot="1" x14ac:dyDescent="0.25">
      <c r="B25" s="48">
        <v>19</v>
      </c>
      <c r="C25" s="49" t="str">
        <f>'ЖЭУ 3'!AA5</f>
        <v>Техническое обслуживание систем аудидомофонной связи</v>
      </c>
      <c r="D25" s="50" t="s">
        <v>90</v>
      </c>
      <c r="E25" s="51">
        <f ca="1">SUMIF('ЖЭУ 3'!$D$5:$AF$6,'Ленина 1'!$C25,'ЖЭУ 3'!$D$19:$AF$19)</f>
        <v>0</v>
      </c>
    </row>
    <row r="26" spans="2:8" ht="11.45" customHeight="1" thickBot="1" x14ac:dyDescent="0.25">
      <c r="B26" s="116" t="s">
        <v>91</v>
      </c>
      <c r="C26" s="116"/>
    </row>
    <row r="27" spans="2:8" ht="25.15" customHeight="1" x14ac:dyDescent="0.2">
      <c r="B27" s="113" t="str">
        <f>CONCATENATE($I$5,$I$3)</f>
        <v>Расходы по коммунальным услугам, потребленным на содержание общего иммущества многоквартирного дома№ 24А ул. Менделеева</v>
      </c>
      <c r="C27" s="114"/>
      <c r="D27" s="114"/>
      <c r="E27" s="115"/>
    </row>
    <row r="28" spans="2:8" ht="25.15" customHeight="1" x14ac:dyDescent="0.2">
      <c r="B28" s="44">
        <v>1</v>
      </c>
      <c r="C28" s="45" t="str">
        <f>'ЖЭУ 3'!AB5</f>
        <v>Электрическая энергия, потребляемая при содержании общего имущества в МКД</v>
      </c>
      <c r="D28" s="46" t="s">
        <v>90</v>
      </c>
      <c r="E28" s="47">
        <f ca="1">SUMIF('ЖЭУ 3'!$D$5:$AF$6,'Ленина 1'!$C28,'ЖЭУ 3'!$D$19:$AF$19)</f>
        <v>1.1641166610794502</v>
      </c>
      <c r="G28" s="52"/>
    </row>
    <row r="29" spans="2:8" ht="25.15" customHeight="1" x14ac:dyDescent="0.2">
      <c r="B29" s="44">
        <v>2</v>
      </c>
      <c r="C29" s="45" t="str">
        <f>'ЖЭУ 3'!AC5</f>
        <v>Холодная вода, потребляемая при содержании общего имущества в МКД</v>
      </c>
      <c r="D29" s="46" t="s">
        <v>90</v>
      </c>
      <c r="E29" s="47">
        <f ca="1">SUMIF('ЖЭУ 3'!$D$5:$AF$6,'Ленина 1'!$C29,'ЖЭУ 3'!$D$19:$AF$19)</f>
        <v>0.21545804894401607</v>
      </c>
      <c r="G29" s="52">
        <f ca="1">SUM(E28:E32)</f>
        <v>2.511795588333892</v>
      </c>
      <c r="H29" s="52">
        <f ca="1">G29-'ЖЭУ 3'!AJ19</f>
        <v>0</v>
      </c>
    </row>
    <row r="30" spans="2:8" ht="27.6" customHeight="1" x14ac:dyDescent="0.2">
      <c r="B30" s="44">
        <v>3</v>
      </c>
      <c r="C30" s="45" t="str">
        <f>'ЖЭУ 3'!AD5</f>
        <v>Холодная вода в составе горячей на содержание общего имущества МКД</v>
      </c>
      <c r="D30" s="46" t="s">
        <v>90</v>
      </c>
      <c r="E30" s="47">
        <f ca="1">SUMIF('ЖЭУ 3'!$D$5:$AF$6,'Ленина 1'!$C30,'ЖЭУ 3'!$D$19:$AF$19)</f>
        <v>0.71683969158565197</v>
      </c>
    </row>
    <row r="31" spans="2:8" ht="27.6" customHeight="1" x14ac:dyDescent="0.2">
      <c r="B31" s="44">
        <v>4</v>
      </c>
      <c r="C31" s="45" t="str">
        <f>'ЖЭУ 3'!AE5</f>
        <v>Горячая вода, потребляемая при содержании общего имущества в МКД</v>
      </c>
      <c r="D31" s="46" t="s">
        <v>90</v>
      </c>
      <c r="E31" s="47">
        <f ca="1">SUMIF('ЖЭУ 3'!$D$5:$AF$6,'Ленина 1'!$C31,'ЖЭУ 3'!$D$19:$AF$19)</f>
        <v>0</v>
      </c>
    </row>
    <row r="32" spans="2:8" ht="27.6" customHeight="1" thickBot="1" x14ac:dyDescent="0.25">
      <c r="B32" s="48">
        <v>5</v>
      </c>
      <c r="C32" s="49" t="str">
        <f>'ЖЭУ 3'!AF5</f>
        <v>Водоотведение при содержании общего имущества в МКД</v>
      </c>
      <c r="D32" s="50" t="s">
        <v>90</v>
      </c>
      <c r="E32" s="51">
        <f ca="1">SUMIF('ЖЭУ 3'!$D$5:$AF$6,'Ленина 1'!$C32,'ЖЭУ 3'!$D$19:$AF$19)</f>
        <v>0.4153811867247737</v>
      </c>
    </row>
    <row r="33" spans="2:8" ht="11.45" customHeight="1" x14ac:dyDescent="0.2">
      <c r="B33" s="53"/>
      <c r="C33" s="59"/>
      <c r="D33" s="55"/>
      <c r="E33" s="56"/>
    </row>
    <row r="34" spans="2:8" ht="21.6" customHeight="1" x14ac:dyDescent="0.2">
      <c r="B34" s="116" t="s">
        <v>92</v>
      </c>
      <c r="C34" s="116"/>
      <c r="D34" s="116"/>
      <c r="E34" s="116"/>
      <c r="G34" s="58"/>
    </row>
    <row r="35" spans="2:8" ht="15" customHeight="1" x14ac:dyDescent="0.2">
      <c r="B35" s="116"/>
      <c r="C35" s="116"/>
      <c r="D35" s="116"/>
      <c r="E35" s="116"/>
      <c r="H35" s="52"/>
    </row>
    <row r="36" spans="2:8" x14ac:dyDescent="0.2">
      <c r="B36" s="57"/>
      <c r="C36" s="59"/>
      <c r="D36" s="55"/>
      <c r="E36" s="56"/>
      <c r="G36" s="60"/>
      <c r="H36" s="61"/>
    </row>
    <row r="37" spans="2:8" x14ac:dyDescent="0.2">
      <c r="B37" s="117"/>
      <c r="C37" s="117"/>
      <c r="G37" s="60"/>
      <c r="H37" s="62"/>
    </row>
    <row r="38" spans="2:8" x14ac:dyDescent="0.2">
      <c r="B38" s="118" t="s">
        <v>93</v>
      </c>
      <c r="C38" s="118"/>
      <c r="E38" s="42" t="s">
        <v>94</v>
      </c>
      <c r="H38" s="63"/>
    </row>
  </sheetData>
  <mergeCells count="10">
    <mergeCell ref="B27:E27"/>
    <mergeCell ref="B34:E35"/>
    <mergeCell ref="B37:C37"/>
    <mergeCell ref="B38:C38"/>
    <mergeCell ref="B4:E4"/>
    <mergeCell ref="B5:B6"/>
    <mergeCell ref="C5:C6"/>
    <mergeCell ref="D5:D6"/>
    <mergeCell ref="E5:E6"/>
    <mergeCell ref="B26:C26"/>
  </mergeCells>
  <pageMargins left="0.7" right="0.7" top="0.75" bottom="0.75" header="0.3" footer="0.3"/>
  <pageSetup paperSize="9" scale="6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view="pageBreakPreview" topLeftCell="A17" zoomScale="75" zoomScaleNormal="100" zoomScaleSheetLayoutView="75" workbookViewId="0">
      <selection activeCell="F1" sqref="F1:F2"/>
    </sheetView>
  </sheetViews>
  <sheetFormatPr defaultColWidth="8.85546875" defaultRowHeight="12.75" x14ac:dyDescent="0.2"/>
  <cols>
    <col min="1" max="1" width="3.42578125" style="41" customWidth="1"/>
    <col min="2" max="2" width="4.85546875" style="41" customWidth="1"/>
    <col min="3" max="3" width="43.7109375" style="41" customWidth="1"/>
    <col min="4" max="4" width="9" style="41" bestFit="1" customWidth="1"/>
    <col min="5" max="5" width="12.5703125" style="42" customWidth="1"/>
    <col min="6" max="16384" width="8.85546875" style="41"/>
  </cols>
  <sheetData>
    <row r="1" spans="2:9" x14ac:dyDescent="0.2">
      <c r="F1" s="43" t="s">
        <v>85</v>
      </c>
    </row>
    <row r="2" spans="2:9" ht="15" x14ac:dyDescent="0.35">
      <c r="F2" s="90" t="s">
        <v>139</v>
      </c>
    </row>
    <row r="3" spans="2:9" ht="13.5" thickBot="1" x14ac:dyDescent="0.25">
      <c r="I3" s="41" t="s">
        <v>109</v>
      </c>
    </row>
    <row r="4" spans="2:9" ht="24" customHeight="1" x14ac:dyDescent="0.2">
      <c r="B4" s="119" t="str">
        <f>CONCATENATE($I$4,$I$3)</f>
        <v>Размер платы на содержание общего имущества многоквартирного дома№ 2 ул. Мира</v>
      </c>
      <c r="C4" s="120"/>
      <c r="D4" s="120"/>
      <c r="E4" s="121"/>
      <c r="I4" s="41" t="s">
        <v>96</v>
      </c>
    </row>
    <row r="5" spans="2:9" ht="13.9" customHeight="1" x14ac:dyDescent="0.2">
      <c r="B5" s="122" t="s">
        <v>1</v>
      </c>
      <c r="C5" s="123" t="s">
        <v>87</v>
      </c>
      <c r="D5" s="124" t="s">
        <v>88</v>
      </c>
      <c r="E5" s="125" t="s">
        <v>89</v>
      </c>
      <c r="I5" s="41" t="s">
        <v>97</v>
      </c>
    </row>
    <row r="6" spans="2:9" x14ac:dyDescent="0.2">
      <c r="B6" s="122"/>
      <c r="C6" s="123"/>
      <c r="D6" s="124"/>
      <c r="E6" s="125"/>
    </row>
    <row r="7" spans="2:9" ht="41.45" customHeight="1" x14ac:dyDescent="0.2">
      <c r="B7" s="44">
        <v>1</v>
      </c>
      <c r="C7" s="45" t="str">
        <f>'ЖЭУ 3'!D5</f>
        <v xml:space="preserve">Управление  многоквартирным домом   </v>
      </c>
      <c r="D7" s="46" t="s">
        <v>90</v>
      </c>
      <c r="E7" s="47">
        <f ca="1">SUMIF('ЖЭУ 3'!$D$5:$AF$6,'Ленина 1'!$C7,'ЖЭУ 3'!$D$20:$AF$20)</f>
        <v>5.04</v>
      </c>
    </row>
    <row r="8" spans="2:9" ht="41.45" customHeight="1" x14ac:dyDescent="0.2">
      <c r="B8" s="44">
        <v>2</v>
      </c>
      <c r="C8" s="45" t="str">
        <f>'ЖЭУ 3'!E5</f>
        <v>Уборка и санитарно-гигиеническая очистка 
лестничных клеток</v>
      </c>
      <c r="D8" s="46" t="s">
        <v>90</v>
      </c>
      <c r="E8" s="47">
        <f ca="1">SUMIF('ЖЭУ 3'!$D$5:$AF$6,'Ленина 1'!$C8,'ЖЭУ 3'!$D$20:$AF$20)</f>
        <v>5.88</v>
      </c>
    </row>
    <row r="9" spans="2:9" ht="41.45" customHeight="1" x14ac:dyDescent="0.2">
      <c r="B9" s="44">
        <v>3</v>
      </c>
      <c r="C9" s="45" t="str">
        <f>'ЖЭУ 3'!F5</f>
        <v>Уборка и санитарно-гигиеническая очистка земельного участка и контейнерных площадок</v>
      </c>
      <c r="D9" s="46" t="s">
        <v>90</v>
      </c>
      <c r="E9" s="47">
        <f ca="1">SUMIF('ЖЭУ 3'!$D$5:$AF$6,'Ленина 1'!$C9,'ЖЭУ 3'!$D$20:$AF$20)</f>
        <v>3.22</v>
      </c>
    </row>
    <row r="10" spans="2:9" ht="41.45" customHeight="1" x14ac:dyDescent="0.2">
      <c r="B10" s="44">
        <v>4</v>
      </c>
      <c r="C10" s="45" t="str">
        <f>'ЖЭУ 3'!G5</f>
        <v>Содержание и техническое обслуживание конструктивных элементов</v>
      </c>
      <c r="D10" s="46" t="s">
        <v>90</v>
      </c>
      <c r="E10" s="47">
        <f ca="1">SUMIF('ЖЭУ 3'!$D$5:$AF$6,'Ленина 1'!$C10,'ЖЭУ 3'!$D$20:$AF$20)</f>
        <v>3.06</v>
      </c>
    </row>
    <row r="11" spans="2:9" ht="41.45" customHeight="1" x14ac:dyDescent="0.2">
      <c r="B11" s="44">
        <v>5</v>
      </c>
      <c r="C11" s="45" t="str">
        <f>'ЖЭУ 3'!H5</f>
        <v>Содержание и техническое обслуживание внутридомовых систем холодного и горячего водоснабжения, отопления и канализации</v>
      </c>
      <c r="D11" s="46" t="s">
        <v>90</v>
      </c>
      <c r="E11" s="47">
        <f ca="1">SUMIF('ЖЭУ 3'!$D$5:$AF$6,'Ленина 1'!$C11,'ЖЭУ 3'!$D$20:$AF$20)</f>
        <v>3.29</v>
      </c>
    </row>
    <row r="12" spans="2:9" ht="41.45" customHeight="1" x14ac:dyDescent="0.2">
      <c r="B12" s="44">
        <v>6</v>
      </c>
      <c r="C12" s="45" t="str">
        <f>'ЖЭУ 3'!I5</f>
        <v>Содержание и техническое обслуживание внутридомовых систем электроснабжения</v>
      </c>
      <c r="D12" s="46" t="s">
        <v>90</v>
      </c>
      <c r="E12" s="47">
        <f ca="1">SUMIF('ЖЭУ 3'!$D$5:$AF$6,'Ленина 1'!$C12,'ЖЭУ 3'!$D$20:$AF$20)</f>
        <v>3.06</v>
      </c>
    </row>
    <row r="13" spans="2:9" ht="41.45" customHeight="1" x14ac:dyDescent="0.2">
      <c r="B13" s="44">
        <v>7</v>
      </c>
      <c r="C13" s="45" t="str">
        <f>'ЖЭУ 3'!J5</f>
        <v>Текущий ремонт МКД</v>
      </c>
      <c r="D13" s="46" t="s">
        <v>90</v>
      </c>
      <c r="E13" s="47">
        <f ca="1">SUMIF('ЖЭУ 3'!$D$5:$AF$6,'Ленина 1'!$C13,'ЖЭУ 3'!$D$20:$AF$20)</f>
        <v>11.19</v>
      </c>
    </row>
    <row r="14" spans="2:9" ht="41.45" customHeight="1" x14ac:dyDescent="0.2">
      <c r="B14" s="44">
        <v>8</v>
      </c>
      <c r="C14" s="45" t="str">
        <f>'ЖЭУ 3'!P5</f>
        <v>Дератизация, дезинсекция помещений</v>
      </c>
      <c r="D14" s="46" t="s">
        <v>90</v>
      </c>
      <c r="E14" s="47">
        <f ca="1">SUMIF('ЖЭУ 3'!$D$5:$AF$6,'Ленина 1'!$C14,'ЖЭУ 3'!$D$20:$AF$20)</f>
        <v>0.11</v>
      </c>
    </row>
    <row r="15" spans="2:9" ht="41.45" customHeight="1" x14ac:dyDescent="0.2">
      <c r="B15" s="44">
        <v>9</v>
      </c>
      <c r="C15" s="45" t="str">
        <f>'ЖЭУ 3'!Q5</f>
        <v>Благоустройство придомовой территории</v>
      </c>
      <c r="D15" s="46" t="s">
        <v>90</v>
      </c>
      <c r="E15" s="47">
        <f ca="1">SUMIF('ЖЭУ 3'!$D$5:$AF$6,'Ленина 1'!$C15,'ЖЭУ 3'!$D$20:$AF$20)</f>
        <v>0.37</v>
      </c>
    </row>
    <row r="16" spans="2:9" ht="41.45" customHeight="1" x14ac:dyDescent="0.2">
      <c r="B16" s="44">
        <v>10</v>
      </c>
      <c r="C16" s="45" t="str">
        <f>'ЖЭУ 3'!R5</f>
        <v>Сбор и вывоз твердых коммунальных отходов</v>
      </c>
      <c r="D16" s="46" t="s">
        <v>90</v>
      </c>
      <c r="E16" s="47">
        <f ca="1">SUMIF('ЖЭУ 3'!$D$5:$AF$6,'Ленина 1'!$C16,'ЖЭУ 3'!$D$20:$AF$20)</f>
        <v>1.33</v>
      </c>
    </row>
    <row r="17" spans="2:8" ht="41.45" customHeight="1" x14ac:dyDescent="0.2">
      <c r="B17" s="44">
        <v>11</v>
      </c>
      <c r="C17" s="45" t="str">
        <f>'ЖЭУ 3'!S5</f>
        <v>Механизированная уборка территорий от снега</v>
      </c>
      <c r="D17" s="46" t="s">
        <v>90</v>
      </c>
      <c r="E17" s="47">
        <f ca="1">SUMIF('ЖЭУ 3'!$D$5:$AF$6,'Ленина 1'!$C17,'ЖЭУ 3'!$D$20:$AF$20)</f>
        <v>0.69</v>
      </c>
    </row>
    <row r="18" spans="2:8" ht="41.45" customHeight="1" x14ac:dyDescent="0.2">
      <c r="B18" s="44">
        <v>12</v>
      </c>
      <c r="C18" s="45" t="str">
        <f>'ЖЭУ 3'!T5</f>
        <v>Содержание, техническое обслуживание КОДПУ тепловой энергии на отопление</v>
      </c>
      <c r="D18" s="46" t="s">
        <v>90</v>
      </c>
      <c r="E18" s="47">
        <f ca="1">SUMIF('ЖЭУ 3'!$D$5:$AF$6,'Ленина 1'!$C18,'ЖЭУ 3'!$D$20:$AF$20)</f>
        <v>0.5</v>
      </c>
    </row>
    <row r="19" spans="2:8" ht="41.45" customHeight="1" x14ac:dyDescent="0.2">
      <c r="B19" s="44">
        <v>13</v>
      </c>
      <c r="C19" s="45" t="str">
        <f>'ЖЭУ 3'!U5</f>
        <v>Содержание, техническое обслуживание КОДПУ горячего водоснабжения</v>
      </c>
      <c r="D19" s="46" t="s">
        <v>90</v>
      </c>
      <c r="E19" s="47">
        <f ca="1">SUMIF('ЖЭУ 3'!$D$5:$AF$6,'Ленина 1'!$C19,'ЖЭУ 3'!$D$20:$AF$20)</f>
        <v>0</v>
      </c>
    </row>
    <row r="20" spans="2:8" ht="41.45" customHeight="1" x14ac:dyDescent="0.2">
      <c r="B20" s="44">
        <v>14</v>
      </c>
      <c r="C20" s="45" t="str">
        <f>'ЖЭУ 3'!V5</f>
        <v>Содержание, техническое обслуживание КОДПУ холодного водоснабжения</v>
      </c>
      <c r="D20" s="46" t="s">
        <v>90</v>
      </c>
      <c r="E20" s="47">
        <f ca="1">SUMIF('ЖЭУ 3'!$D$5:$AF$6,'Ленина 1'!$C20,'ЖЭУ 3'!$D$20:$AF$20)</f>
        <v>0.36</v>
      </c>
    </row>
    <row r="21" spans="2:8" ht="41.45" customHeight="1" x14ac:dyDescent="0.2">
      <c r="B21" s="44">
        <v>15</v>
      </c>
      <c r="C21" s="45" t="str">
        <f>'ЖЭУ 3'!W5</f>
        <v>Поверка, замена вышедшего из строя оборудования коллективног ОПУ тепловой энергии на отопление</v>
      </c>
      <c r="D21" s="46" t="s">
        <v>90</v>
      </c>
      <c r="E21" s="47">
        <f ca="1">SUMIF('ЖЭУ 3'!$D$5:$AF$6,'Ленина 1'!$C21,'ЖЭУ 3'!$D$20:$AF$20)</f>
        <v>0.34</v>
      </c>
    </row>
    <row r="22" spans="2:8" ht="41.45" customHeight="1" x14ac:dyDescent="0.2">
      <c r="B22" s="44">
        <v>16</v>
      </c>
      <c r="C22" s="45" t="str">
        <f>'ЖЭУ 3'!X5</f>
        <v>Поверка, замена вышедшего из строя оборудования коллективног ОПУ горячего водоснабжения</v>
      </c>
      <c r="D22" s="46" t="s">
        <v>90</v>
      </c>
      <c r="E22" s="47">
        <f ca="1">SUMIF('ЖЭУ 3'!$D$5:$AF$6,'Ленина 1'!$C22,'ЖЭУ 3'!$D$20:$AF$20)</f>
        <v>0</v>
      </c>
      <c r="G22" s="52">
        <f ca="1">SUM(E7:E25)</f>
        <v>38.949999999999989</v>
      </c>
      <c r="H22" s="52">
        <f ca="1">G22-'ЖЭУ 3'!AK20</f>
        <v>0</v>
      </c>
    </row>
    <row r="23" spans="2:8" ht="33" customHeight="1" x14ac:dyDescent="0.2">
      <c r="B23" s="44">
        <v>17</v>
      </c>
      <c r="C23" s="45" t="str">
        <f>'ЖЭУ 3'!Y5</f>
        <v>Поверка, замена вышедшего из строя оборудования коллективног ОПУ холодного водоснабжения</v>
      </c>
      <c r="D23" s="46" t="s">
        <v>90</v>
      </c>
      <c r="E23" s="47">
        <f ca="1">SUMIF('ЖЭУ 3'!$D$5:$AF$6,'Ленина 1'!$C23,'ЖЭУ 3'!$D$20:$AF$20)</f>
        <v>0.14000000000000001</v>
      </c>
    </row>
    <row r="24" spans="2:8" ht="43.15" customHeight="1" x14ac:dyDescent="0.2">
      <c r="B24" s="44">
        <v>18</v>
      </c>
      <c r="C24" s="45" t="str">
        <f>'ЖЭУ 3'!Z5</f>
        <v>Поверка, замена вышедшего из строя оборудования коллективног ОПУ электрической энергии</v>
      </c>
      <c r="D24" s="46" t="s">
        <v>90</v>
      </c>
      <c r="E24" s="47">
        <f ca="1">SUMIF('ЖЭУ 3'!$D$5:$AF$6,'Ленина 1'!$C24,'ЖЭУ 3'!$D$20:$AF$20)</f>
        <v>0.37</v>
      </c>
    </row>
    <row r="25" spans="2:8" ht="31.9" customHeight="1" thickBot="1" x14ac:dyDescent="0.25">
      <c r="B25" s="48">
        <v>19</v>
      </c>
      <c r="C25" s="49" t="str">
        <f>'ЖЭУ 3'!AA5</f>
        <v>Техническое обслуживание систем аудидомофонной связи</v>
      </c>
      <c r="D25" s="50" t="s">
        <v>90</v>
      </c>
      <c r="E25" s="51">
        <f ca="1">SUMIF('ЖЭУ 3'!$D$5:$AF$6,'Ленина 1'!$C25,'ЖЭУ 3'!$D$20:$AF$20)</f>
        <v>0</v>
      </c>
    </row>
    <row r="26" spans="2:8" ht="11.45" customHeight="1" thickBot="1" x14ac:dyDescent="0.25">
      <c r="B26" s="116" t="s">
        <v>91</v>
      </c>
      <c r="C26" s="116"/>
    </row>
    <row r="27" spans="2:8" ht="25.15" customHeight="1" x14ac:dyDescent="0.2">
      <c r="B27" s="113" t="str">
        <f>CONCATENATE($I$5,$I$3)</f>
        <v>Расходы по коммунальным услугам, потребленным на содержание общего иммущества многоквартирного дома№ 2 ул. Мира</v>
      </c>
      <c r="C27" s="114"/>
      <c r="D27" s="114"/>
      <c r="E27" s="115"/>
    </row>
    <row r="28" spans="2:8" ht="25.15" customHeight="1" x14ac:dyDescent="0.2">
      <c r="B28" s="44">
        <v>1</v>
      </c>
      <c r="C28" s="45" t="str">
        <f>'ЖЭУ 3'!AB5</f>
        <v>Электрическая энергия, потребляемая при содержании общего имущества в МКД</v>
      </c>
      <c r="D28" s="46" t="s">
        <v>90</v>
      </c>
      <c r="E28" s="47">
        <f ca="1">SUMIF('ЖЭУ 3'!$D$5:$AF$6,'Ленина 1'!$C28,'ЖЭУ 3'!$D$20:$AF$20)</f>
        <v>1.0387594914613214</v>
      </c>
      <c r="G28" s="52"/>
    </row>
    <row r="29" spans="2:8" ht="25.15" customHeight="1" x14ac:dyDescent="0.2">
      <c r="B29" s="44">
        <v>2</v>
      </c>
      <c r="C29" s="45" t="str">
        <f>'ЖЭУ 3'!AC5</f>
        <v>Холодная вода, потребляемая при содержании общего имущества в МКД</v>
      </c>
      <c r="D29" s="46" t="s">
        <v>90</v>
      </c>
      <c r="E29" s="47">
        <f ca="1">SUMIF('ЖЭУ 3'!$D$5:$AF$6,'Ленина 1'!$C29,'ЖЭУ 3'!$D$20:$AF$20)</f>
        <v>0.16490519884793295</v>
      </c>
      <c r="G29" s="52">
        <f ca="1">SUM(E28:E32)</f>
        <v>2.0702329619177844</v>
      </c>
      <c r="H29" s="52">
        <f ca="1">G29-'ЖЭУ 3'!AJ20</f>
        <v>0</v>
      </c>
    </row>
    <row r="30" spans="2:8" ht="27.6" customHeight="1" x14ac:dyDescent="0.2">
      <c r="B30" s="44">
        <v>3</v>
      </c>
      <c r="C30" s="45" t="str">
        <f>'ЖЭУ 3'!AD5</f>
        <v>Холодная вода в составе горячей на содержание общего имущества МКД</v>
      </c>
      <c r="D30" s="46" t="s">
        <v>90</v>
      </c>
      <c r="E30" s="47">
        <f ca="1">SUMIF('ЖЭУ 3'!$D$5:$AF$6,'Ленина 1'!$C30,'ЖЭУ 3'!$D$20:$AF$20)</f>
        <v>0.54864783405579953</v>
      </c>
    </row>
    <row r="31" spans="2:8" ht="27.6" customHeight="1" x14ac:dyDescent="0.2">
      <c r="B31" s="44">
        <v>4</v>
      </c>
      <c r="C31" s="45" t="str">
        <f>'ЖЭУ 3'!AE5</f>
        <v>Горячая вода, потребляемая при содержании общего имущества в МКД</v>
      </c>
      <c r="D31" s="46" t="s">
        <v>90</v>
      </c>
      <c r="E31" s="47">
        <f ca="1">SUMIF('ЖЭУ 3'!$D$5:$AF$6,'Ленина 1'!$C31,'ЖЭУ 3'!$D$20:$AF$20)</f>
        <v>0</v>
      </c>
    </row>
    <row r="32" spans="2:8" ht="27.6" customHeight="1" thickBot="1" x14ac:dyDescent="0.25">
      <c r="B32" s="48">
        <v>5</v>
      </c>
      <c r="C32" s="49" t="str">
        <f>'ЖЭУ 3'!AF5</f>
        <v>Водоотведение при содержании общего имущества в МКД</v>
      </c>
      <c r="D32" s="50" t="s">
        <v>90</v>
      </c>
      <c r="E32" s="51">
        <f ca="1">SUMIF('ЖЭУ 3'!$D$5:$AF$6,'Ленина 1'!$C32,'ЖЭУ 3'!$D$20:$AF$20)</f>
        <v>0.31792043755273031</v>
      </c>
    </row>
    <row r="33" spans="2:8" ht="11.45" customHeight="1" x14ac:dyDescent="0.2">
      <c r="B33" s="53"/>
      <c r="C33" s="59"/>
      <c r="D33" s="55"/>
      <c r="E33" s="56"/>
    </row>
    <row r="34" spans="2:8" ht="21.6" customHeight="1" x14ac:dyDescent="0.2">
      <c r="B34" s="116" t="s">
        <v>92</v>
      </c>
      <c r="C34" s="116"/>
      <c r="D34" s="116"/>
      <c r="E34" s="116"/>
      <c r="G34" s="58"/>
    </row>
    <row r="35" spans="2:8" ht="15" customHeight="1" x14ac:dyDescent="0.2">
      <c r="B35" s="116"/>
      <c r="C35" s="116"/>
      <c r="D35" s="116"/>
      <c r="E35" s="116"/>
      <c r="H35" s="52"/>
    </row>
    <row r="36" spans="2:8" x14ac:dyDescent="0.2">
      <c r="B36" s="57"/>
      <c r="C36" s="59"/>
      <c r="D36" s="55"/>
      <c r="E36" s="56"/>
      <c r="G36" s="60"/>
      <c r="H36" s="61"/>
    </row>
    <row r="37" spans="2:8" x14ac:dyDescent="0.2">
      <c r="B37" s="117"/>
      <c r="C37" s="117"/>
      <c r="G37" s="60"/>
      <c r="H37" s="62"/>
    </row>
    <row r="38" spans="2:8" x14ac:dyDescent="0.2">
      <c r="B38" s="118" t="s">
        <v>93</v>
      </c>
      <c r="C38" s="118"/>
      <c r="E38" s="42" t="s">
        <v>94</v>
      </c>
      <c r="H38" s="63"/>
    </row>
  </sheetData>
  <mergeCells count="10">
    <mergeCell ref="B27:E27"/>
    <mergeCell ref="B34:E35"/>
    <mergeCell ref="B37:C37"/>
    <mergeCell ref="B38:C38"/>
    <mergeCell ref="B4:E4"/>
    <mergeCell ref="B5:B6"/>
    <mergeCell ref="C5:C6"/>
    <mergeCell ref="D5:D6"/>
    <mergeCell ref="E5:E6"/>
    <mergeCell ref="B26:C26"/>
  </mergeCells>
  <pageMargins left="0.7" right="0.7" top="0.75" bottom="0.75" header="0.3" footer="0.3"/>
  <pageSetup paperSize="9" scale="6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view="pageBreakPreview" topLeftCell="A17" zoomScale="75" zoomScaleNormal="100" zoomScaleSheetLayoutView="75" workbookViewId="0">
      <selection activeCell="F1" sqref="F1:F2"/>
    </sheetView>
  </sheetViews>
  <sheetFormatPr defaultColWidth="8.85546875" defaultRowHeight="12.75" x14ac:dyDescent="0.2"/>
  <cols>
    <col min="1" max="1" width="3.42578125" style="41" customWidth="1"/>
    <col min="2" max="2" width="4.85546875" style="41" customWidth="1"/>
    <col min="3" max="3" width="43.7109375" style="41" customWidth="1"/>
    <col min="4" max="4" width="9" style="41" bestFit="1" customWidth="1"/>
    <col min="5" max="5" width="12.5703125" style="42" customWidth="1"/>
    <col min="6" max="16384" width="8.85546875" style="41"/>
  </cols>
  <sheetData>
    <row r="1" spans="2:9" x14ac:dyDescent="0.2">
      <c r="F1" s="43" t="s">
        <v>85</v>
      </c>
    </row>
    <row r="2" spans="2:9" ht="15" x14ac:dyDescent="0.35">
      <c r="F2" s="90" t="s">
        <v>139</v>
      </c>
    </row>
    <row r="3" spans="2:9" ht="13.5" thickBot="1" x14ac:dyDescent="0.25">
      <c r="I3" s="41" t="s">
        <v>110</v>
      </c>
    </row>
    <row r="4" spans="2:9" ht="24" customHeight="1" x14ac:dyDescent="0.2">
      <c r="B4" s="119" t="str">
        <f>CONCATENATE($I$4,$I$3)</f>
        <v>Размер платы на содержание общего имущества многоквартирного дома№ 2А ул. Мира</v>
      </c>
      <c r="C4" s="120"/>
      <c r="D4" s="120"/>
      <c r="E4" s="121"/>
      <c r="I4" s="41" t="s">
        <v>96</v>
      </c>
    </row>
    <row r="5" spans="2:9" ht="13.9" customHeight="1" x14ac:dyDescent="0.2">
      <c r="B5" s="122" t="s">
        <v>1</v>
      </c>
      <c r="C5" s="123" t="s">
        <v>87</v>
      </c>
      <c r="D5" s="124" t="s">
        <v>88</v>
      </c>
      <c r="E5" s="125" t="s">
        <v>89</v>
      </c>
      <c r="I5" s="41" t="s">
        <v>97</v>
      </c>
    </row>
    <row r="6" spans="2:9" x14ac:dyDescent="0.2">
      <c r="B6" s="122"/>
      <c r="C6" s="123"/>
      <c r="D6" s="124"/>
      <c r="E6" s="125"/>
    </row>
    <row r="7" spans="2:9" ht="41.45" customHeight="1" x14ac:dyDescent="0.2">
      <c r="B7" s="44">
        <v>1</v>
      </c>
      <c r="C7" s="45" t="str">
        <f>'ЖЭУ 3'!D5</f>
        <v xml:space="preserve">Управление  многоквартирным домом   </v>
      </c>
      <c r="D7" s="46" t="s">
        <v>90</v>
      </c>
      <c r="E7" s="47">
        <f ca="1">SUMIF('ЖЭУ 3'!$D$5:$AF$6,'Ленина 1'!$C7,'ЖЭУ 3'!$D$21:$AF$21)</f>
        <v>5.04</v>
      </c>
    </row>
    <row r="8" spans="2:9" ht="41.45" customHeight="1" x14ac:dyDescent="0.2">
      <c r="B8" s="44">
        <v>2</v>
      </c>
      <c r="C8" s="45" t="str">
        <f>'ЖЭУ 3'!E5</f>
        <v>Уборка и санитарно-гигиеническая очистка 
лестничных клеток</v>
      </c>
      <c r="D8" s="46" t="s">
        <v>90</v>
      </c>
      <c r="E8" s="47">
        <f ca="1">SUMIF('ЖЭУ 3'!$D$5:$AF$6,'Ленина 1'!$C8,'ЖЭУ 3'!$D$21:$AF$21)</f>
        <v>5.24</v>
      </c>
    </row>
    <row r="9" spans="2:9" ht="41.45" customHeight="1" x14ac:dyDescent="0.2">
      <c r="B9" s="44">
        <v>3</v>
      </c>
      <c r="C9" s="45" t="str">
        <f>'ЖЭУ 3'!F5</f>
        <v>Уборка и санитарно-гигиеническая очистка земельного участка и контейнерных площадок</v>
      </c>
      <c r="D9" s="46" t="s">
        <v>90</v>
      </c>
      <c r="E9" s="47">
        <f ca="1">SUMIF('ЖЭУ 3'!$D$5:$AF$6,'Ленина 1'!$C9,'ЖЭУ 3'!$D$21:$AF$21)</f>
        <v>5.03</v>
      </c>
    </row>
    <row r="10" spans="2:9" ht="41.45" customHeight="1" x14ac:dyDescent="0.2">
      <c r="B10" s="44">
        <v>4</v>
      </c>
      <c r="C10" s="45" t="str">
        <f>'ЖЭУ 3'!G5</f>
        <v>Содержание и техническое обслуживание конструктивных элементов</v>
      </c>
      <c r="D10" s="46" t="s">
        <v>90</v>
      </c>
      <c r="E10" s="47">
        <f ca="1">SUMIF('ЖЭУ 3'!$D$5:$AF$6,'Ленина 1'!$C10,'ЖЭУ 3'!$D$21:$AF$21)</f>
        <v>2.54</v>
      </c>
    </row>
    <row r="11" spans="2:9" ht="41.45" customHeight="1" x14ac:dyDescent="0.2">
      <c r="B11" s="44">
        <v>5</v>
      </c>
      <c r="C11" s="45" t="str">
        <f>'ЖЭУ 3'!H5</f>
        <v>Содержание и техническое обслуживание внутридомовых систем холодного и горячего водоснабжения, отопления и канализации</v>
      </c>
      <c r="D11" s="46" t="s">
        <v>90</v>
      </c>
      <c r="E11" s="47">
        <f ca="1">SUMIF('ЖЭУ 3'!$D$5:$AF$6,'Ленина 1'!$C11,'ЖЭУ 3'!$D$21:$AF$21)</f>
        <v>3.49</v>
      </c>
    </row>
    <row r="12" spans="2:9" ht="41.45" customHeight="1" x14ac:dyDescent="0.2">
      <c r="B12" s="44">
        <v>6</v>
      </c>
      <c r="C12" s="45" t="str">
        <f>'ЖЭУ 3'!I5</f>
        <v>Содержание и техническое обслуживание внутридомовых систем электроснабжения</v>
      </c>
      <c r="D12" s="46" t="s">
        <v>90</v>
      </c>
      <c r="E12" s="47">
        <f ca="1">SUMIF('ЖЭУ 3'!$D$5:$AF$6,'Ленина 1'!$C12,'ЖЭУ 3'!$D$21:$AF$21)</f>
        <v>2.75</v>
      </c>
    </row>
    <row r="13" spans="2:9" ht="41.45" customHeight="1" x14ac:dyDescent="0.2">
      <c r="B13" s="44">
        <v>7</v>
      </c>
      <c r="C13" s="45" t="str">
        <f>'ЖЭУ 3'!J5</f>
        <v>Текущий ремонт МКД</v>
      </c>
      <c r="D13" s="46" t="s">
        <v>90</v>
      </c>
      <c r="E13" s="47">
        <f ca="1">SUMIF('ЖЭУ 3'!$D$5:$AF$6,'Ленина 1'!$C13,'ЖЭУ 3'!$D$21:$AF$21)</f>
        <v>10.234999999999999</v>
      </c>
    </row>
    <row r="14" spans="2:9" ht="41.45" customHeight="1" x14ac:dyDescent="0.2">
      <c r="B14" s="44">
        <v>8</v>
      </c>
      <c r="C14" s="45" t="str">
        <f>'ЖЭУ 3'!P5</f>
        <v>Дератизация, дезинсекция помещений</v>
      </c>
      <c r="D14" s="46" t="s">
        <v>90</v>
      </c>
      <c r="E14" s="47">
        <f ca="1">SUMIF('ЖЭУ 3'!$D$5:$AF$6,'Ленина 1'!$C14,'ЖЭУ 3'!$D$21:$AF$21)</f>
        <v>0.1</v>
      </c>
    </row>
    <row r="15" spans="2:9" ht="41.45" customHeight="1" x14ac:dyDescent="0.2">
      <c r="B15" s="44">
        <v>9</v>
      </c>
      <c r="C15" s="45" t="str">
        <f>'ЖЭУ 3'!Q5</f>
        <v>Благоустройство придомовой территории</v>
      </c>
      <c r="D15" s="46" t="s">
        <v>90</v>
      </c>
      <c r="E15" s="47">
        <f ca="1">SUMIF('ЖЭУ 3'!$D$5:$AF$6,'Ленина 1'!$C15,'ЖЭУ 3'!$D$21:$AF$21)</f>
        <v>0.37</v>
      </c>
    </row>
    <row r="16" spans="2:9" ht="41.45" customHeight="1" x14ac:dyDescent="0.2">
      <c r="B16" s="44">
        <v>10</v>
      </c>
      <c r="C16" s="45" t="str">
        <f>'ЖЭУ 3'!R5</f>
        <v>Сбор и вывоз твердых коммунальных отходов</v>
      </c>
      <c r="D16" s="46" t="s">
        <v>90</v>
      </c>
      <c r="E16" s="47">
        <f ca="1">SUMIF('ЖЭУ 3'!$D$5:$AF$6,'Ленина 1'!$C16,'ЖЭУ 3'!$D$21:$AF$21)</f>
        <v>1.49</v>
      </c>
    </row>
    <row r="17" spans="2:8" ht="41.45" customHeight="1" x14ac:dyDescent="0.2">
      <c r="B17" s="44">
        <v>11</v>
      </c>
      <c r="C17" s="45" t="str">
        <f>'ЖЭУ 3'!S5</f>
        <v>Механизированная уборка территорий от снега</v>
      </c>
      <c r="D17" s="46" t="s">
        <v>90</v>
      </c>
      <c r="E17" s="47">
        <f ca="1">SUMIF('ЖЭУ 3'!$D$5:$AF$6,'Ленина 1'!$C17,'ЖЭУ 3'!$D$21:$AF$21)</f>
        <v>0.89</v>
      </c>
    </row>
    <row r="18" spans="2:8" ht="41.45" customHeight="1" x14ac:dyDescent="0.2">
      <c r="B18" s="44">
        <v>12</v>
      </c>
      <c r="C18" s="45" t="str">
        <f>'ЖЭУ 3'!T5</f>
        <v>Содержание, техническое обслуживание КОДПУ тепловой энергии на отопление</v>
      </c>
      <c r="D18" s="46" t="s">
        <v>90</v>
      </c>
      <c r="E18" s="47">
        <f ca="1">SUMIF('ЖЭУ 3'!$D$5:$AF$6,'Ленина 1'!$C18,'ЖЭУ 3'!$D$21:$AF$21)</f>
        <v>0.52</v>
      </c>
    </row>
    <row r="19" spans="2:8" ht="41.45" customHeight="1" x14ac:dyDescent="0.2">
      <c r="B19" s="44">
        <v>13</v>
      </c>
      <c r="C19" s="45" t="str">
        <f>'ЖЭУ 3'!U5</f>
        <v>Содержание, техническое обслуживание КОДПУ горячего водоснабжения</v>
      </c>
      <c r="D19" s="46" t="s">
        <v>90</v>
      </c>
      <c r="E19" s="47">
        <f ca="1">SUMIF('ЖЭУ 3'!$D$5:$AF$6,'Ленина 1'!$C19,'ЖЭУ 3'!$D$21:$AF$21)</f>
        <v>0</v>
      </c>
    </row>
    <row r="20" spans="2:8" ht="41.45" customHeight="1" x14ac:dyDescent="0.2">
      <c r="B20" s="44">
        <v>14</v>
      </c>
      <c r="C20" s="45" t="str">
        <f>'ЖЭУ 3'!V5</f>
        <v>Содержание, техническое обслуживание КОДПУ холодного водоснабжения</v>
      </c>
      <c r="D20" s="46" t="s">
        <v>90</v>
      </c>
      <c r="E20" s="47">
        <f ca="1">SUMIF('ЖЭУ 3'!$D$5:$AF$6,'Ленина 1'!$C20,'ЖЭУ 3'!$D$21:$AF$21)</f>
        <v>0.37</v>
      </c>
    </row>
    <row r="21" spans="2:8" ht="41.45" customHeight="1" x14ac:dyDescent="0.2">
      <c r="B21" s="44">
        <v>15</v>
      </c>
      <c r="C21" s="45" t="str">
        <f>'ЖЭУ 3'!W5</f>
        <v>Поверка, замена вышедшего из строя оборудования коллективног ОПУ тепловой энергии на отопление</v>
      </c>
      <c r="D21" s="46" t="s">
        <v>90</v>
      </c>
      <c r="E21" s="47">
        <f ca="1">SUMIF('ЖЭУ 3'!$D$5:$AF$6,'Ленина 1'!$C21,'ЖЭУ 3'!$D$21:$AF$21)</f>
        <v>0.35</v>
      </c>
    </row>
    <row r="22" spans="2:8" ht="41.45" customHeight="1" x14ac:dyDescent="0.2">
      <c r="B22" s="44">
        <v>16</v>
      </c>
      <c r="C22" s="45" t="str">
        <f>'ЖЭУ 3'!X5</f>
        <v>Поверка, замена вышедшего из строя оборудования коллективног ОПУ горячего водоснабжения</v>
      </c>
      <c r="D22" s="46" t="s">
        <v>90</v>
      </c>
      <c r="E22" s="47">
        <f ca="1">SUMIF('ЖЭУ 3'!$D$5:$AF$6,'Ленина 1'!$C22,'ЖЭУ 3'!$D$21:$AF$21)</f>
        <v>0</v>
      </c>
      <c r="G22" s="52">
        <f ca="1">SUM(E7:E25)</f>
        <v>38.945000000000007</v>
      </c>
      <c r="H22" s="52">
        <f ca="1">G22-'ЖЭУ 3'!AK21</f>
        <v>0</v>
      </c>
    </row>
    <row r="23" spans="2:8" ht="33" customHeight="1" x14ac:dyDescent="0.2">
      <c r="B23" s="44">
        <v>17</v>
      </c>
      <c r="C23" s="45" t="str">
        <f>'ЖЭУ 3'!Y5</f>
        <v>Поверка, замена вышедшего из строя оборудования коллективног ОПУ холодного водоснабжения</v>
      </c>
      <c r="D23" s="46" t="s">
        <v>90</v>
      </c>
      <c r="E23" s="47">
        <f ca="1">SUMIF('ЖЭУ 3'!$D$5:$AF$6,'Ленина 1'!$C23,'ЖЭУ 3'!$D$21:$AF$21)</f>
        <v>0.15</v>
      </c>
    </row>
    <row r="24" spans="2:8" ht="43.15" customHeight="1" x14ac:dyDescent="0.2">
      <c r="B24" s="44">
        <v>18</v>
      </c>
      <c r="C24" s="45" t="str">
        <f>'ЖЭУ 3'!Z5</f>
        <v>Поверка, замена вышедшего из строя оборудования коллективног ОПУ электрической энергии</v>
      </c>
      <c r="D24" s="46" t="s">
        <v>90</v>
      </c>
      <c r="E24" s="47">
        <f ca="1">SUMIF('ЖЭУ 3'!$D$5:$AF$6,'Ленина 1'!$C24,'ЖЭУ 3'!$D$21:$AF$21)</f>
        <v>0.38</v>
      </c>
    </row>
    <row r="25" spans="2:8" ht="31.9" customHeight="1" thickBot="1" x14ac:dyDescent="0.25">
      <c r="B25" s="48">
        <v>19</v>
      </c>
      <c r="C25" s="49" t="str">
        <f>'ЖЭУ 3'!AA5</f>
        <v>Техническое обслуживание систем аудидомофонной связи</v>
      </c>
      <c r="D25" s="50" t="s">
        <v>90</v>
      </c>
      <c r="E25" s="51">
        <f ca="1">SUMIF('ЖЭУ 3'!$D$5:$AF$6,'Ленина 1'!$C25,'ЖЭУ 3'!$D$21:$AF$21)</f>
        <v>0</v>
      </c>
    </row>
    <row r="26" spans="2:8" ht="11.45" customHeight="1" thickBot="1" x14ac:dyDescent="0.25">
      <c r="B26" s="116" t="s">
        <v>91</v>
      </c>
      <c r="C26" s="116"/>
    </row>
    <row r="27" spans="2:8" ht="25.15" customHeight="1" x14ac:dyDescent="0.2">
      <c r="B27" s="113" t="str">
        <f>CONCATENATE($I$5,$I$3)</f>
        <v>Расходы по коммунальным услугам, потребленным на содержание общего иммущества многоквартирного дома№ 2А ул. Мира</v>
      </c>
      <c r="C27" s="114"/>
      <c r="D27" s="114"/>
      <c r="E27" s="115"/>
    </row>
    <row r="28" spans="2:8" ht="25.15" customHeight="1" x14ac:dyDescent="0.2">
      <c r="B28" s="44">
        <v>1</v>
      </c>
      <c r="C28" s="45" t="str">
        <f>'ЖЭУ 3'!AB5</f>
        <v>Электрическая энергия, потребляемая при содержании общего имущества в МКД</v>
      </c>
      <c r="D28" s="46" t="s">
        <v>90</v>
      </c>
      <c r="E28" s="47">
        <f ca="1">SUMIF('ЖЭУ 3'!$D$5:$AF$6,'Ленина 1'!$C28,'ЖЭУ 3'!$D$21:$AF$21)</f>
        <v>0.99116510940625102</v>
      </c>
      <c r="G28" s="52"/>
    </row>
    <row r="29" spans="2:8" ht="25.15" customHeight="1" x14ac:dyDescent="0.2">
      <c r="B29" s="44">
        <v>2</v>
      </c>
      <c r="C29" s="45" t="str">
        <f>'ЖЭУ 3'!AC5</f>
        <v>Холодная вода, потребляемая при содержании общего имущества в МКД</v>
      </c>
      <c r="D29" s="46" t="s">
        <v>90</v>
      </c>
      <c r="E29" s="47">
        <f ca="1">SUMIF('ЖЭУ 3'!$D$5:$AF$6,'Ленина 1'!$C29,'ЖЭУ 3'!$D$21:$AF$21)</f>
        <v>0.15762306456909159</v>
      </c>
      <c r="G29" s="52">
        <f ca="1">SUM(E28:E32)</f>
        <v>1.9770892074390281</v>
      </c>
      <c r="H29" s="52">
        <f ca="1">G29-'ЖЭУ 3'!AJ21</f>
        <v>0</v>
      </c>
    </row>
    <row r="30" spans="2:8" ht="27.6" customHeight="1" x14ac:dyDescent="0.2">
      <c r="B30" s="44">
        <v>3</v>
      </c>
      <c r="C30" s="45" t="str">
        <f>'ЖЭУ 3'!AD5</f>
        <v>Холодная вода в составе горячей на содержание общего имущества МКД</v>
      </c>
      <c r="D30" s="46" t="s">
        <v>90</v>
      </c>
      <c r="E30" s="47">
        <f ca="1">SUMIF('ЖЭУ 3'!$D$5:$AF$6,'Ленина 1'!$C30,'ЖЭУ 3'!$D$21:$AF$21)</f>
        <v>0.52441980954655354</v>
      </c>
    </row>
    <row r="31" spans="2:8" ht="27.6" customHeight="1" x14ac:dyDescent="0.2">
      <c r="B31" s="44">
        <v>4</v>
      </c>
      <c r="C31" s="45" t="str">
        <f>'ЖЭУ 3'!AE5</f>
        <v>Горячая вода, потребляемая при содержании общего имущества в МКД</v>
      </c>
      <c r="D31" s="46" t="s">
        <v>90</v>
      </c>
      <c r="E31" s="47">
        <f ca="1">SUMIF('ЖЭУ 3'!$D$5:$AF$6,'Ленина 1'!$C31,'ЖЭУ 3'!$D$21:$AF$21)</f>
        <v>0</v>
      </c>
    </row>
    <row r="32" spans="2:8" ht="27.6" customHeight="1" thickBot="1" x14ac:dyDescent="0.25">
      <c r="B32" s="48">
        <v>5</v>
      </c>
      <c r="C32" s="49" t="str">
        <f>'ЖЭУ 3'!AF5</f>
        <v>Водоотведение при содержании общего имущества в МКД</v>
      </c>
      <c r="D32" s="50" t="s">
        <v>90</v>
      </c>
      <c r="E32" s="51">
        <f ca="1">SUMIF('ЖЭУ 3'!$D$5:$AF$6,'Ленина 1'!$C32,'ЖЭУ 3'!$D$21:$AF$21)</f>
        <v>0.30388122391713179</v>
      </c>
    </row>
    <row r="33" spans="2:8" ht="11.45" customHeight="1" x14ac:dyDescent="0.2">
      <c r="B33" s="53"/>
      <c r="C33" s="59"/>
      <c r="D33" s="55"/>
      <c r="E33" s="56"/>
    </row>
    <row r="34" spans="2:8" ht="21.6" customHeight="1" x14ac:dyDescent="0.2">
      <c r="B34" s="116" t="s">
        <v>92</v>
      </c>
      <c r="C34" s="116"/>
      <c r="D34" s="116"/>
      <c r="E34" s="116"/>
      <c r="G34" s="58"/>
    </row>
    <row r="35" spans="2:8" ht="15" customHeight="1" x14ac:dyDescent="0.2">
      <c r="B35" s="116"/>
      <c r="C35" s="116"/>
      <c r="D35" s="116"/>
      <c r="E35" s="116"/>
      <c r="H35" s="52"/>
    </row>
    <row r="36" spans="2:8" x14ac:dyDescent="0.2">
      <c r="B36" s="57"/>
      <c r="C36" s="59"/>
      <c r="D36" s="55"/>
      <c r="E36" s="56"/>
      <c r="G36" s="60"/>
      <c r="H36" s="61"/>
    </row>
    <row r="37" spans="2:8" x14ac:dyDescent="0.2">
      <c r="B37" s="117"/>
      <c r="C37" s="117"/>
      <c r="G37" s="60"/>
      <c r="H37" s="62"/>
    </row>
    <row r="38" spans="2:8" x14ac:dyDescent="0.2">
      <c r="B38" s="118" t="s">
        <v>93</v>
      </c>
      <c r="C38" s="118"/>
      <c r="E38" s="42" t="s">
        <v>94</v>
      </c>
      <c r="H38" s="63"/>
    </row>
  </sheetData>
  <mergeCells count="10">
    <mergeCell ref="B27:E27"/>
    <mergeCell ref="B34:E35"/>
    <mergeCell ref="B37:C37"/>
    <mergeCell ref="B38:C38"/>
    <mergeCell ref="B4:E4"/>
    <mergeCell ref="B5:B6"/>
    <mergeCell ref="C5:C6"/>
    <mergeCell ref="D5:D6"/>
    <mergeCell ref="E5:E6"/>
    <mergeCell ref="B26:C26"/>
  </mergeCells>
  <pageMargins left="0.7" right="0.7" top="0.75" bottom="0.75" header="0.3" footer="0.3"/>
  <pageSetup paperSize="9" scale="6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view="pageBreakPreview" zoomScale="75" zoomScaleNormal="100" zoomScaleSheetLayoutView="75" workbookViewId="0">
      <selection activeCell="F1" sqref="F1:F2"/>
    </sheetView>
  </sheetViews>
  <sheetFormatPr defaultColWidth="8.85546875" defaultRowHeight="12.75" x14ac:dyDescent="0.2"/>
  <cols>
    <col min="1" max="1" width="3.42578125" style="41" customWidth="1"/>
    <col min="2" max="2" width="4.85546875" style="41" customWidth="1"/>
    <col min="3" max="3" width="43.7109375" style="41" customWidth="1"/>
    <col min="4" max="4" width="9" style="41" bestFit="1" customWidth="1"/>
    <col min="5" max="5" width="12.5703125" style="42" customWidth="1"/>
    <col min="6" max="16384" width="8.85546875" style="41"/>
  </cols>
  <sheetData>
    <row r="1" spans="2:9" x14ac:dyDescent="0.2">
      <c r="F1" s="43" t="s">
        <v>85</v>
      </c>
    </row>
    <row r="2" spans="2:9" ht="15" x14ac:dyDescent="0.35">
      <c r="F2" s="90" t="s">
        <v>139</v>
      </c>
    </row>
    <row r="3" spans="2:9" ht="13.5" thickBot="1" x14ac:dyDescent="0.25">
      <c r="I3" s="41" t="s">
        <v>111</v>
      </c>
    </row>
    <row r="4" spans="2:9" ht="24" customHeight="1" x14ac:dyDescent="0.2">
      <c r="B4" s="119" t="str">
        <f>CONCATENATE($I$4,$I$3)</f>
        <v>Размер платы на содержание общего имущества многоквартирного дома№ 4 ул. Мира</v>
      </c>
      <c r="C4" s="120"/>
      <c r="D4" s="120"/>
      <c r="E4" s="121"/>
      <c r="I4" s="41" t="s">
        <v>96</v>
      </c>
    </row>
    <row r="5" spans="2:9" ht="13.9" customHeight="1" x14ac:dyDescent="0.2">
      <c r="B5" s="122" t="s">
        <v>1</v>
      </c>
      <c r="C5" s="123" t="s">
        <v>87</v>
      </c>
      <c r="D5" s="124" t="s">
        <v>88</v>
      </c>
      <c r="E5" s="125" t="s">
        <v>89</v>
      </c>
      <c r="I5" s="41" t="s">
        <v>97</v>
      </c>
    </row>
    <row r="6" spans="2:9" x14ac:dyDescent="0.2">
      <c r="B6" s="122"/>
      <c r="C6" s="123"/>
      <c r="D6" s="124"/>
      <c r="E6" s="125"/>
    </row>
    <row r="7" spans="2:9" ht="41.45" customHeight="1" x14ac:dyDescent="0.2">
      <c r="B7" s="44">
        <v>1</v>
      </c>
      <c r="C7" s="45" t="str">
        <f>'ЖЭУ 3'!D5</f>
        <v xml:space="preserve">Управление  многоквартирным домом   </v>
      </c>
      <c r="D7" s="46" t="s">
        <v>90</v>
      </c>
      <c r="E7" s="47">
        <f ca="1">SUMIF('ЖЭУ 3'!$D$5:$AF$6,'Ленина 1'!$C7,'ЖЭУ 3'!$D$22:$AF$22)</f>
        <v>5.04</v>
      </c>
    </row>
    <row r="8" spans="2:9" ht="41.45" customHeight="1" x14ac:dyDescent="0.2">
      <c r="B8" s="44">
        <v>2</v>
      </c>
      <c r="C8" s="45" t="str">
        <f>'ЖЭУ 3'!E5</f>
        <v>Уборка и санитарно-гигиеническая очистка 
лестничных клеток</v>
      </c>
      <c r="D8" s="46" t="s">
        <v>90</v>
      </c>
      <c r="E8" s="47">
        <f ca="1">SUMIF('ЖЭУ 3'!$D$5:$AF$6,'Ленина 1'!$C8,'ЖЭУ 3'!$D$22:$AF$22)</f>
        <v>5.1100000000000003</v>
      </c>
    </row>
    <row r="9" spans="2:9" ht="41.45" customHeight="1" x14ac:dyDescent="0.2">
      <c r="B9" s="44">
        <v>3</v>
      </c>
      <c r="C9" s="45" t="str">
        <f>'ЖЭУ 3'!F5</f>
        <v>Уборка и санитарно-гигиеническая очистка земельного участка и контейнерных площадок</v>
      </c>
      <c r="D9" s="46" t="s">
        <v>90</v>
      </c>
      <c r="E9" s="47">
        <f ca="1">SUMIF('ЖЭУ 3'!$D$5:$AF$6,'Ленина 1'!$C9,'ЖЭУ 3'!$D$22:$AF$22)</f>
        <v>7.07</v>
      </c>
    </row>
    <row r="10" spans="2:9" ht="41.45" customHeight="1" x14ac:dyDescent="0.2">
      <c r="B10" s="44">
        <v>4</v>
      </c>
      <c r="C10" s="45" t="str">
        <f>'ЖЭУ 3'!G5</f>
        <v>Содержание и техническое обслуживание конструктивных элементов</v>
      </c>
      <c r="D10" s="46" t="s">
        <v>90</v>
      </c>
      <c r="E10" s="47">
        <f ca="1">SUMIF('ЖЭУ 3'!$D$5:$AF$6,'Ленина 1'!$C10,'ЖЭУ 3'!$D$22:$AF$22)</f>
        <v>3.12</v>
      </c>
    </row>
    <row r="11" spans="2:9" ht="41.45" customHeight="1" x14ac:dyDescent="0.2">
      <c r="B11" s="44">
        <v>5</v>
      </c>
      <c r="C11" s="45" t="str">
        <f>'ЖЭУ 3'!H5</f>
        <v>Содержание и техническое обслуживание внутридомовых систем холодного и горячего водоснабжения, отопления и канализации</v>
      </c>
      <c r="D11" s="46" t="s">
        <v>90</v>
      </c>
      <c r="E11" s="47">
        <f ca="1">SUMIF('ЖЭУ 3'!$D$5:$AF$6,'Ленина 1'!$C11,'ЖЭУ 3'!$D$22:$AF$22)</f>
        <v>3.27</v>
      </c>
    </row>
    <row r="12" spans="2:9" ht="41.45" customHeight="1" x14ac:dyDescent="0.2">
      <c r="B12" s="44">
        <v>6</v>
      </c>
      <c r="C12" s="45" t="str">
        <f>'ЖЭУ 3'!I5</f>
        <v>Содержание и техническое обслуживание внутридомовых систем электроснабжения</v>
      </c>
      <c r="D12" s="46" t="s">
        <v>90</v>
      </c>
      <c r="E12" s="47">
        <f ca="1">SUMIF('ЖЭУ 3'!$D$5:$AF$6,'Ленина 1'!$C12,'ЖЭУ 3'!$D$22:$AF$22)</f>
        <v>2.5299999999999998</v>
      </c>
    </row>
    <row r="13" spans="2:9" ht="41.45" customHeight="1" x14ac:dyDescent="0.2">
      <c r="B13" s="44">
        <v>7</v>
      </c>
      <c r="C13" s="45" t="str">
        <f>'ЖЭУ 3'!J5</f>
        <v>Текущий ремонт МКД</v>
      </c>
      <c r="D13" s="46" t="s">
        <v>90</v>
      </c>
      <c r="E13" s="47">
        <f ca="1">SUMIF('ЖЭУ 3'!$D$5:$AF$6,'Ленина 1'!$C13,'ЖЭУ 3'!$D$22:$AF$22)</f>
        <v>8.68</v>
      </c>
    </row>
    <row r="14" spans="2:9" ht="41.45" customHeight="1" x14ac:dyDescent="0.2">
      <c r="B14" s="44">
        <v>8</v>
      </c>
      <c r="C14" s="45" t="str">
        <f>'ЖЭУ 3'!P5</f>
        <v>Дератизация, дезинсекция помещений</v>
      </c>
      <c r="D14" s="46" t="s">
        <v>90</v>
      </c>
      <c r="E14" s="47">
        <f ca="1">SUMIF('ЖЭУ 3'!$D$5:$AF$6,'Ленина 1'!$C14,'ЖЭУ 3'!$D$22:$AF$22)</f>
        <v>0.11</v>
      </c>
    </row>
    <row r="15" spans="2:9" ht="41.45" customHeight="1" x14ac:dyDescent="0.2">
      <c r="B15" s="44">
        <v>9</v>
      </c>
      <c r="C15" s="45" t="str">
        <f>'ЖЭУ 3'!Q5</f>
        <v>Благоустройство придомовой территории</v>
      </c>
      <c r="D15" s="46" t="s">
        <v>90</v>
      </c>
      <c r="E15" s="47">
        <f ca="1">SUMIF('ЖЭУ 3'!$D$5:$AF$6,'Ленина 1'!$C15,'ЖЭУ 3'!$D$22:$AF$22)</f>
        <v>0.37</v>
      </c>
    </row>
    <row r="16" spans="2:9" ht="41.45" customHeight="1" x14ac:dyDescent="0.2">
      <c r="B16" s="44">
        <v>10</v>
      </c>
      <c r="C16" s="45" t="str">
        <f>'ЖЭУ 3'!R5</f>
        <v>Сбор и вывоз твердых коммунальных отходов</v>
      </c>
      <c r="D16" s="46" t="s">
        <v>90</v>
      </c>
      <c r="E16" s="47">
        <f ca="1">SUMIF('ЖЭУ 3'!$D$5:$AF$6,'Ленина 1'!$C16,'ЖЭУ 3'!$D$22:$AF$22)</f>
        <v>1.38</v>
      </c>
    </row>
    <row r="17" spans="2:8" ht="41.45" customHeight="1" x14ac:dyDescent="0.2">
      <c r="B17" s="44">
        <v>11</v>
      </c>
      <c r="C17" s="45" t="str">
        <f>'ЖЭУ 3'!S5</f>
        <v>Механизированная уборка территорий от снега</v>
      </c>
      <c r="D17" s="46" t="s">
        <v>90</v>
      </c>
      <c r="E17" s="47">
        <f ca="1">SUMIF('ЖЭУ 3'!$D$5:$AF$6,'Ленина 1'!$C17,'ЖЭУ 3'!$D$22:$AF$22)</f>
        <v>0.53</v>
      </c>
    </row>
    <row r="18" spans="2:8" ht="41.45" customHeight="1" x14ac:dyDescent="0.2">
      <c r="B18" s="44">
        <v>12</v>
      </c>
      <c r="C18" s="45" t="str">
        <f>'ЖЭУ 3'!T5</f>
        <v>Содержание, техническое обслуживание КОДПУ тепловой энергии на отопление</v>
      </c>
      <c r="D18" s="46" t="s">
        <v>90</v>
      </c>
      <c r="E18" s="47">
        <f ca="1">SUMIF('ЖЭУ 3'!$D$5:$AF$6,'Ленина 1'!$C18,'ЖЭУ 3'!$D$22:$AF$22)</f>
        <v>0.51</v>
      </c>
    </row>
    <row r="19" spans="2:8" ht="41.45" customHeight="1" x14ac:dyDescent="0.2">
      <c r="B19" s="44">
        <v>13</v>
      </c>
      <c r="C19" s="45" t="str">
        <f>'ЖЭУ 3'!U5</f>
        <v>Содержание, техническое обслуживание КОДПУ горячего водоснабжения</v>
      </c>
      <c r="D19" s="46" t="s">
        <v>90</v>
      </c>
      <c r="E19" s="47">
        <f ca="1">SUMIF('ЖЭУ 3'!$D$5:$AF$6,'Ленина 1'!$C19,'ЖЭУ 3'!$D$22:$AF$22)</f>
        <v>0</v>
      </c>
    </row>
    <row r="20" spans="2:8" ht="41.45" customHeight="1" x14ac:dyDescent="0.2">
      <c r="B20" s="44">
        <v>14</v>
      </c>
      <c r="C20" s="45" t="str">
        <f>'ЖЭУ 3'!V5</f>
        <v>Содержание, техническое обслуживание КОДПУ холодного водоснабжения</v>
      </c>
      <c r="D20" s="46" t="s">
        <v>90</v>
      </c>
      <c r="E20" s="47">
        <f ca="1">SUMIF('ЖЭУ 3'!$D$5:$AF$6,'Ленина 1'!$C20,'ЖЭУ 3'!$D$22:$AF$22)</f>
        <v>0.36</v>
      </c>
    </row>
    <row r="21" spans="2:8" ht="41.45" customHeight="1" x14ac:dyDescent="0.2">
      <c r="B21" s="44">
        <v>15</v>
      </c>
      <c r="C21" s="45" t="str">
        <f>'ЖЭУ 3'!W5</f>
        <v>Поверка, замена вышедшего из строя оборудования коллективног ОПУ тепловой энергии на отопление</v>
      </c>
      <c r="D21" s="46" t="s">
        <v>90</v>
      </c>
      <c r="E21" s="47">
        <f ca="1">SUMIF('ЖЭУ 3'!$D$5:$AF$6,'Ленина 1'!$C21,'ЖЭУ 3'!$D$22:$AF$22)</f>
        <v>0.35</v>
      </c>
    </row>
    <row r="22" spans="2:8" ht="41.45" customHeight="1" x14ac:dyDescent="0.2">
      <c r="B22" s="44">
        <v>16</v>
      </c>
      <c r="C22" s="45" t="str">
        <f>'ЖЭУ 3'!X5</f>
        <v>Поверка, замена вышедшего из строя оборудования коллективног ОПУ горячего водоснабжения</v>
      </c>
      <c r="D22" s="46" t="s">
        <v>90</v>
      </c>
      <c r="E22" s="47">
        <f ca="1">SUMIF('ЖЭУ 3'!$D$5:$AF$6,'Ленина 1'!$C22,'ЖЭУ 3'!$D$22:$AF$22)</f>
        <v>0</v>
      </c>
      <c r="G22" s="52">
        <f ca="1">SUM(E7:E25)</f>
        <v>38.949999999999996</v>
      </c>
      <c r="H22" s="52">
        <f ca="1">G22-'ЖЭУ 3'!AK22</f>
        <v>0</v>
      </c>
    </row>
    <row r="23" spans="2:8" ht="33" customHeight="1" x14ac:dyDescent="0.2">
      <c r="B23" s="44">
        <v>17</v>
      </c>
      <c r="C23" s="45" t="str">
        <f>'ЖЭУ 3'!Y5</f>
        <v>Поверка, замена вышедшего из строя оборудования коллективног ОПУ холодного водоснабжения</v>
      </c>
      <c r="D23" s="46" t="s">
        <v>90</v>
      </c>
      <c r="E23" s="47">
        <f ca="1">SUMIF('ЖЭУ 3'!$D$5:$AF$6,'Ленина 1'!$C23,'ЖЭУ 3'!$D$22:$AF$22)</f>
        <v>0.15</v>
      </c>
    </row>
    <row r="24" spans="2:8" ht="43.15" customHeight="1" x14ac:dyDescent="0.2">
      <c r="B24" s="44">
        <v>18</v>
      </c>
      <c r="C24" s="45" t="str">
        <f>'ЖЭУ 3'!Z5</f>
        <v>Поверка, замена вышедшего из строя оборудования коллективног ОПУ электрической энергии</v>
      </c>
      <c r="D24" s="46" t="s">
        <v>90</v>
      </c>
      <c r="E24" s="47">
        <f ca="1">SUMIF('ЖЭУ 3'!$D$5:$AF$6,'Ленина 1'!$C24,'ЖЭУ 3'!$D$22:$AF$22)</f>
        <v>0.37</v>
      </c>
    </row>
    <row r="25" spans="2:8" ht="31.9" customHeight="1" thickBot="1" x14ac:dyDescent="0.25">
      <c r="B25" s="48">
        <v>19</v>
      </c>
      <c r="C25" s="49" t="str">
        <f>'ЖЭУ 3'!AA5</f>
        <v>Техническое обслуживание систем аудидомофонной связи</v>
      </c>
      <c r="D25" s="50" t="s">
        <v>90</v>
      </c>
      <c r="E25" s="51">
        <f ca="1">SUMIF('ЖЭУ 3'!$D$5:$AF$6,'Ленина 1'!$C25,'ЖЭУ 3'!$D$22:$AF$22)</f>
        <v>0</v>
      </c>
    </row>
    <row r="26" spans="2:8" ht="11.45" customHeight="1" thickBot="1" x14ac:dyDescent="0.25">
      <c r="B26" s="116" t="s">
        <v>91</v>
      </c>
      <c r="C26" s="116"/>
    </row>
    <row r="27" spans="2:8" ht="25.15" customHeight="1" x14ac:dyDescent="0.2">
      <c r="B27" s="113" t="str">
        <f>CONCATENATE($I$5,$I$3)</f>
        <v>Расходы по коммунальным услугам, потребленным на содержание общего иммущества многоквартирного дома№ 4 ул. Мира</v>
      </c>
      <c r="C27" s="114"/>
      <c r="D27" s="114"/>
      <c r="E27" s="115"/>
    </row>
    <row r="28" spans="2:8" ht="25.15" customHeight="1" x14ac:dyDescent="0.2">
      <c r="B28" s="44">
        <v>1</v>
      </c>
      <c r="C28" s="45" t="str">
        <f>'ЖЭУ 3'!AB5</f>
        <v>Электрическая энергия, потребляемая при содержании общего имущества в МКД</v>
      </c>
      <c r="D28" s="46" t="s">
        <v>90</v>
      </c>
      <c r="E28" s="47">
        <f ca="1">SUMIF('ЖЭУ 3'!$D$5:$AF$6,'Ленина 1'!$C28,'ЖЭУ 3'!$D$22:$AF$22)</f>
        <v>1.0215233069481093</v>
      </c>
      <c r="G28" s="52"/>
    </row>
    <row r="29" spans="2:8" ht="25.15" customHeight="1" x14ac:dyDescent="0.2">
      <c r="B29" s="44">
        <v>2</v>
      </c>
      <c r="C29" s="45" t="str">
        <f>'ЖЭУ 3'!AC5</f>
        <v>Холодная вода, потребляемая при содержании общего имущества в МКД</v>
      </c>
      <c r="D29" s="46" t="s">
        <v>90</v>
      </c>
      <c r="E29" s="47">
        <f ca="1">SUMIF('ЖЭУ 3'!$D$5:$AF$6,'Ленина 1'!$C29,'ЖЭУ 3'!$D$22:$AF$22)</f>
        <v>0.16151835356200525</v>
      </c>
      <c r="G29" s="52">
        <f ca="1">SUM(E28:E32)</f>
        <v>2.0318122357080037</v>
      </c>
      <c r="H29" s="52">
        <f ca="1">G29-'ЖЭУ 3'!AJ22</f>
        <v>0</v>
      </c>
    </row>
    <row r="30" spans="2:8" ht="27.6" customHeight="1" x14ac:dyDescent="0.2">
      <c r="B30" s="44">
        <v>3</v>
      </c>
      <c r="C30" s="45" t="str">
        <f>'ЖЭУ 3'!AD5</f>
        <v>Холодная вода в составе горячей на содержание общего имущества МКД</v>
      </c>
      <c r="D30" s="46" t="s">
        <v>90</v>
      </c>
      <c r="E30" s="47">
        <f ca="1">SUMIF('ЖЭУ 3'!$D$5:$AF$6,'Ленина 1'!$C30,'ЖЭУ 3'!$D$22:$AF$22)</f>
        <v>0.53737963060686011</v>
      </c>
    </row>
    <row r="31" spans="2:8" ht="27.6" customHeight="1" x14ac:dyDescent="0.2">
      <c r="B31" s="44">
        <v>4</v>
      </c>
      <c r="C31" s="45" t="str">
        <f>'ЖЭУ 3'!AE5</f>
        <v>Горячая вода, потребляемая при содержании общего имущества в МКД</v>
      </c>
      <c r="D31" s="46" t="s">
        <v>90</v>
      </c>
      <c r="E31" s="47">
        <f ca="1">SUMIF('ЖЭУ 3'!$D$5:$AF$6,'Ленина 1'!$C31,'ЖЭУ 3'!$D$22:$AF$22)</f>
        <v>0</v>
      </c>
    </row>
    <row r="32" spans="2:8" ht="27.6" customHeight="1" thickBot="1" x14ac:dyDescent="0.25">
      <c r="B32" s="48">
        <v>5</v>
      </c>
      <c r="C32" s="49" t="str">
        <f>'ЖЭУ 3'!AF5</f>
        <v>Водоотведение при содержании общего имущества в МКД</v>
      </c>
      <c r="D32" s="50" t="s">
        <v>90</v>
      </c>
      <c r="E32" s="51">
        <f ca="1">SUMIF('ЖЭУ 3'!$D$5:$AF$6,'Ленина 1'!$C32,'ЖЭУ 3'!$D$22:$AF$22)</f>
        <v>0.31139094459102895</v>
      </c>
    </row>
    <row r="33" spans="2:8" ht="11.45" customHeight="1" x14ac:dyDescent="0.2">
      <c r="B33" s="53"/>
      <c r="C33" s="59"/>
      <c r="D33" s="55"/>
      <c r="E33" s="56"/>
    </row>
    <row r="34" spans="2:8" ht="21.6" customHeight="1" x14ac:dyDescent="0.2">
      <c r="B34" s="116" t="s">
        <v>92</v>
      </c>
      <c r="C34" s="116"/>
      <c r="D34" s="116"/>
      <c r="E34" s="116"/>
      <c r="G34" s="58"/>
    </row>
    <row r="35" spans="2:8" ht="15" customHeight="1" x14ac:dyDescent="0.2">
      <c r="B35" s="116"/>
      <c r="C35" s="116"/>
      <c r="D35" s="116"/>
      <c r="E35" s="116"/>
      <c r="H35" s="52"/>
    </row>
    <row r="36" spans="2:8" x14ac:dyDescent="0.2">
      <c r="B36" s="57"/>
      <c r="C36" s="59"/>
      <c r="D36" s="55"/>
      <c r="E36" s="56"/>
      <c r="G36" s="60"/>
      <c r="H36" s="61"/>
    </row>
    <row r="37" spans="2:8" x14ac:dyDescent="0.2">
      <c r="B37" s="117"/>
      <c r="C37" s="117"/>
      <c r="G37" s="60"/>
      <c r="H37" s="62"/>
    </row>
    <row r="38" spans="2:8" x14ac:dyDescent="0.2">
      <c r="B38" s="118" t="s">
        <v>93</v>
      </c>
      <c r="C38" s="118"/>
      <c r="E38" s="42" t="s">
        <v>94</v>
      </c>
      <c r="H38" s="63"/>
    </row>
  </sheetData>
  <mergeCells count="10">
    <mergeCell ref="B27:E27"/>
    <mergeCell ref="B34:E35"/>
    <mergeCell ref="B37:C37"/>
    <mergeCell ref="B38:C38"/>
    <mergeCell ref="B4:E4"/>
    <mergeCell ref="B5:B6"/>
    <mergeCell ref="C5:C6"/>
    <mergeCell ref="D5:D6"/>
    <mergeCell ref="E5:E6"/>
    <mergeCell ref="B26:C26"/>
  </mergeCells>
  <pageMargins left="0.7" right="0.7" top="0.75" bottom="0.75" header="0.3" footer="0.3"/>
  <pageSetup paperSize="9" scale="6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view="pageBreakPreview" topLeftCell="A17" zoomScale="75" zoomScaleNormal="100" zoomScaleSheetLayoutView="75" workbookViewId="0">
      <selection activeCell="F1" sqref="F1:F2"/>
    </sheetView>
  </sheetViews>
  <sheetFormatPr defaultColWidth="8.85546875" defaultRowHeight="12.75" x14ac:dyDescent="0.2"/>
  <cols>
    <col min="1" max="1" width="3.42578125" style="41" customWidth="1"/>
    <col min="2" max="2" width="4.85546875" style="41" customWidth="1"/>
    <col min="3" max="3" width="43.7109375" style="41" customWidth="1"/>
    <col min="4" max="4" width="9" style="41" bestFit="1" customWidth="1"/>
    <col min="5" max="5" width="12.5703125" style="42" customWidth="1"/>
    <col min="6" max="16384" width="8.85546875" style="41"/>
  </cols>
  <sheetData>
    <row r="1" spans="2:9" x14ac:dyDescent="0.2">
      <c r="F1" s="43" t="s">
        <v>85</v>
      </c>
    </row>
    <row r="2" spans="2:9" ht="15" x14ac:dyDescent="0.35">
      <c r="F2" s="90" t="s">
        <v>139</v>
      </c>
    </row>
    <row r="3" spans="2:9" ht="13.5" thickBot="1" x14ac:dyDescent="0.25">
      <c r="I3" s="41" t="s">
        <v>112</v>
      </c>
    </row>
    <row r="4" spans="2:9" ht="24" customHeight="1" x14ac:dyDescent="0.2">
      <c r="B4" s="119" t="str">
        <f>CONCATENATE($I$4,$I$3)</f>
        <v>Размер платы на содержание общего имущества многоквартирного дома№ 4А ул. Мира</v>
      </c>
      <c r="C4" s="120"/>
      <c r="D4" s="120"/>
      <c r="E4" s="121"/>
      <c r="I4" s="41" t="s">
        <v>96</v>
      </c>
    </row>
    <row r="5" spans="2:9" ht="13.9" customHeight="1" x14ac:dyDescent="0.2">
      <c r="B5" s="122" t="s">
        <v>1</v>
      </c>
      <c r="C5" s="123" t="s">
        <v>87</v>
      </c>
      <c r="D5" s="124" t="s">
        <v>88</v>
      </c>
      <c r="E5" s="125" t="s">
        <v>89</v>
      </c>
      <c r="I5" s="41" t="s">
        <v>97</v>
      </c>
    </row>
    <row r="6" spans="2:9" x14ac:dyDescent="0.2">
      <c r="B6" s="122"/>
      <c r="C6" s="123"/>
      <c r="D6" s="124"/>
      <c r="E6" s="125"/>
    </row>
    <row r="7" spans="2:9" ht="41.45" customHeight="1" x14ac:dyDescent="0.2">
      <c r="B7" s="44">
        <v>1</v>
      </c>
      <c r="C7" s="45" t="str">
        <f>'ЖЭУ 3'!D5</f>
        <v xml:space="preserve">Управление  многоквартирным домом   </v>
      </c>
      <c r="D7" s="46" t="s">
        <v>90</v>
      </c>
      <c r="E7" s="47">
        <f ca="1">SUMIF('ЖЭУ 3'!$D$5:$AF$6,'Ленина 1'!$C7,'ЖЭУ 3'!$D$23:$AF$23)</f>
        <v>5.04</v>
      </c>
    </row>
    <row r="8" spans="2:9" ht="41.45" customHeight="1" x14ac:dyDescent="0.2">
      <c r="B8" s="44">
        <v>2</v>
      </c>
      <c r="C8" s="45" t="str">
        <f>'ЖЭУ 3'!E5</f>
        <v>Уборка и санитарно-гигиеническая очистка 
лестничных клеток</v>
      </c>
      <c r="D8" s="46" t="s">
        <v>90</v>
      </c>
      <c r="E8" s="47">
        <f ca="1">SUMIF('ЖЭУ 3'!$D$5:$AF$6,'Ленина 1'!$C8,'ЖЭУ 3'!$D$23:$AF$23)</f>
        <v>5.73</v>
      </c>
    </row>
    <row r="9" spans="2:9" ht="41.45" customHeight="1" x14ac:dyDescent="0.2">
      <c r="B9" s="44">
        <v>3</v>
      </c>
      <c r="C9" s="45" t="str">
        <f>'ЖЭУ 3'!F5</f>
        <v>Уборка и санитарно-гигиеническая очистка земельного участка и контейнерных площадок</v>
      </c>
      <c r="D9" s="46" t="s">
        <v>90</v>
      </c>
      <c r="E9" s="47">
        <f ca="1">SUMIF('ЖЭУ 3'!$D$5:$AF$6,'Ленина 1'!$C9,'ЖЭУ 3'!$D$23:$AF$23)</f>
        <v>4</v>
      </c>
    </row>
    <row r="10" spans="2:9" ht="41.45" customHeight="1" x14ac:dyDescent="0.2">
      <c r="B10" s="44">
        <v>4</v>
      </c>
      <c r="C10" s="45" t="str">
        <f>'ЖЭУ 3'!G5</f>
        <v>Содержание и техническое обслуживание конструктивных элементов</v>
      </c>
      <c r="D10" s="46" t="s">
        <v>90</v>
      </c>
      <c r="E10" s="47">
        <f ca="1">SUMIF('ЖЭУ 3'!$D$5:$AF$6,'Ленина 1'!$C10,'ЖЭУ 3'!$D$23:$AF$23)</f>
        <v>2.5</v>
      </c>
    </row>
    <row r="11" spans="2:9" ht="41.45" customHeight="1" x14ac:dyDescent="0.2">
      <c r="B11" s="44">
        <v>5</v>
      </c>
      <c r="C11" s="45" t="str">
        <f>'ЖЭУ 3'!H5</f>
        <v>Содержание и техническое обслуживание внутридомовых систем холодного и горячего водоснабжения, отопления и канализации</v>
      </c>
      <c r="D11" s="46" t="s">
        <v>90</v>
      </c>
      <c r="E11" s="47">
        <f ca="1">SUMIF('ЖЭУ 3'!$D$5:$AF$6,'Ленина 1'!$C11,'ЖЭУ 3'!$D$23:$AF$23)</f>
        <v>3.47</v>
      </c>
    </row>
    <row r="12" spans="2:9" ht="41.45" customHeight="1" x14ac:dyDescent="0.2">
      <c r="B12" s="44">
        <v>6</v>
      </c>
      <c r="C12" s="45" t="str">
        <f>'ЖЭУ 3'!I5</f>
        <v>Содержание и техническое обслуживание внутридомовых систем электроснабжения</v>
      </c>
      <c r="D12" s="46" t="s">
        <v>90</v>
      </c>
      <c r="E12" s="47">
        <f ca="1">SUMIF('ЖЭУ 3'!$D$5:$AF$6,'Ленина 1'!$C12,'ЖЭУ 3'!$D$23:$AF$23)</f>
        <v>2.77</v>
      </c>
    </row>
    <row r="13" spans="2:9" ht="41.45" customHeight="1" x14ac:dyDescent="0.2">
      <c r="B13" s="44">
        <v>7</v>
      </c>
      <c r="C13" s="45" t="str">
        <f>'ЖЭУ 3'!J5</f>
        <v>Текущий ремонт МКД</v>
      </c>
      <c r="D13" s="46" t="s">
        <v>90</v>
      </c>
      <c r="E13" s="47">
        <f ca="1">SUMIF('ЖЭУ 3'!$D$5:$AF$6,'Ленина 1'!$C13,'ЖЭУ 3'!$D$23:$AF$23)</f>
        <v>10.8</v>
      </c>
    </row>
    <row r="14" spans="2:9" ht="41.45" customHeight="1" x14ac:dyDescent="0.2">
      <c r="B14" s="44">
        <v>8</v>
      </c>
      <c r="C14" s="45" t="str">
        <f>'ЖЭУ 3'!P5</f>
        <v>Дератизация, дезинсекция помещений</v>
      </c>
      <c r="D14" s="46" t="s">
        <v>90</v>
      </c>
      <c r="E14" s="47">
        <f ca="1">SUMIF('ЖЭУ 3'!$D$5:$AF$6,'Ленина 1'!$C14,'ЖЭУ 3'!$D$23:$AF$23)</f>
        <v>0.11</v>
      </c>
    </row>
    <row r="15" spans="2:9" ht="41.45" customHeight="1" x14ac:dyDescent="0.2">
      <c r="B15" s="44">
        <v>9</v>
      </c>
      <c r="C15" s="45" t="str">
        <f>'ЖЭУ 3'!Q5</f>
        <v>Благоустройство придомовой территории</v>
      </c>
      <c r="D15" s="46" t="s">
        <v>90</v>
      </c>
      <c r="E15" s="47">
        <f ca="1">SUMIF('ЖЭУ 3'!$D$5:$AF$6,'Ленина 1'!$C15,'ЖЭУ 3'!$D$23:$AF$23)</f>
        <v>0.37</v>
      </c>
    </row>
    <row r="16" spans="2:9" ht="41.45" customHeight="1" x14ac:dyDescent="0.2">
      <c r="B16" s="44">
        <v>10</v>
      </c>
      <c r="C16" s="45" t="str">
        <f>'ЖЭУ 3'!R5</f>
        <v>Сбор и вывоз твердых коммунальных отходов</v>
      </c>
      <c r="D16" s="46" t="s">
        <v>90</v>
      </c>
      <c r="E16" s="47">
        <f ca="1">SUMIF('ЖЭУ 3'!$D$5:$AF$6,'Ленина 1'!$C16,'ЖЭУ 3'!$D$23:$AF$23)</f>
        <v>1.46</v>
      </c>
    </row>
    <row r="17" spans="2:8" ht="41.45" customHeight="1" x14ac:dyDescent="0.2">
      <c r="B17" s="44">
        <v>11</v>
      </c>
      <c r="C17" s="45" t="str">
        <f>'ЖЭУ 3'!S5</f>
        <v>Механизированная уборка территорий от снега</v>
      </c>
      <c r="D17" s="46" t="s">
        <v>90</v>
      </c>
      <c r="E17" s="47">
        <f ca="1">SUMIF('ЖЭУ 3'!$D$5:$AF$6,'Ленина 1'!$C17,'ЖЭУ 3'!$D$23:$AF$23)</f>
        <v>0.9</v>
      </c>
    </row>
    <row r="18" spans="2:8" ht="41.45" customHeight="1" x14ac:dyDescent="0.2">
      <c r="B18" s="44">
        <v>12</v>
      </c>
      <c r="C18" s="45" t="str">
        <f>'ЖЭУ 3'!T5</f>
        <v>Содержание, техническое обслуживание КОДПУ тепловой энергии на отопление</v>
      </c>
      <c r="D18" s="46" t="s">
        <v>90</v>
      </c>
      <c r="E18" s="47">
        <f ca="1">SUMIF('ЖЭУ 3'!$D$5:$AF$6,'Ленина 1'!$C18,'ЖЭУ 3'!$D$23:$AF$23)</f>
        <v>0.52</v>
      </c>
    </row>
    <row r="19" spans="2:8" ht="41.45" customHeight="1" x14ac:dyDescent="0.2">
      <c r="B19" s="44">
        <v>13</v>
      </c>
      <c r="C19" s="45" t="str">
        <f>'ЖЭУ 3'!U5</f>
        <v>Содержание, техническое обслуживание КОДПУ горячего водоснабжения</v>
      </c>
      <c r="D19" s="46" t="s">
        <v>90</v>
      </c>
      <c r="E19" s="47">
        <f ca="1">SUMIF('ЖЭУ 3'!$D$5:$AF$6,'Ленина 1'!$C19,'ЖЭУ 3'!$D$23:$AF$23)</f>
        <v>0</v>
      </c>
    </row>
    <row r="20" spans="2:8" ht="41.45" customHeight="1" x14ac:dyDescent="0.2">
      <c r="B20" s="44">
        <v>14</v>
      </c>
      <c r="C20" s="45" t="str">
        <f>'ЖЭУ 3'!V5</f>
        <v>Содержание, техническое обслуживание КОДПУ холодного водоснабжения</v>
      </c>
      <c r="D20" s="46" t="s">
        <v>90</v>
      </c>
      <c r="E20" s="47">
        <f ca="1">SUMIF('ЖЭУ 3'!$D$5:$AF$6,'Ленина 1'!$C20,'ЖЭУ 3'!$D$23:$AF$23)</f>
        <v>0.37</v>
      </c>
    </row>
    <row r="21" spans="2:8" ht="41.45" customHeight="1" x14ac:dyDescent="0.2">
      <c r="B21" s="44">
        <v>15</v>
      </c>
      <c r="C21" s="45" t="str">
        <f>'ЖЭУ 3'!W5</f>
        <v>Поверка, замена вышедшего из строя оборудования коллективног ОПУ тепловой энергии на отопление</v>
      </c>
      <c r="D21" s="46" t="s">
        <v>90</v>
      </c>
      <c r="E21" s="47">
        <f ca="1">SUMIF('ЖЭУ 3'!$D$5:$AF$6,'Ленина 1'!$C21,'ЖЭУ 3'!$D$23:$AF$23)</f>
        <v>0.36</v>
      </c>
    </row>
    <row r="22" spans="2:8" ht="41.45" customHeight="1" x14ac:dyDescent="0.2">
      <c r="B22" s="44">
        <v>16</v>
      </c>
      <c r="C22" s="45" t="str">
        <f>'ЖЭУ 3'!X5</f>
        <v>Поверка, замена вышедшего из строя оборудования коллективног ОПУ горячего водоснабжения</v>
      </c>
      <c r="D22" s="46" t="s">
        <v>90</v>
      </c>
      <c r="E22" s="47">
        <f ca="1">SUMIF('ЖЭУ 3'!$D$5:$AF$6,'Ленина 1'!$C22,'ЖЭУ 3'!$D$23:$AF$23)</f>
        <v>0</v>
      </c>
      <c r="G22" s="52">
        <f ca="1">SUM(E7:E25)</f>
        <v>38.93</v>
      </c>
      <c r="H22" s="52">
        <f ca="1">G22-'ЖЭУ 3'!AK23</f>
        <v>0</v>
      </c>
    </row>
    <row r="23" spans="2:8" ht="33" customHeight="1" x14ac:dyDescent="0.2">
      <c r="B23" s="44">
        <v>17</v>
      </c>
      <c r="C23" s="45" t="str">
        <f>'ЖЭУ 3'!Y5</f>
        <v>Поверка, замена вышедшего из строя оборудования коллективног ОПУ холодного водоснабжения</v>
      </c>
      <c r="D23" s="46" t="s">
        <v>90</v>
      </c>
      <c r="E23" s="47">
        <f ca="1">SUMIF('ЖЭУ 3'!$D$5:$AF$6,'Ленина 1'!$C23,'ЖЭУ 3'!$D$23:$AF$23)</f>
        <v>0.15</v>
      </c>
    </row>
    <row r="24" spans="2:8" ht="43.15" customHeight="1" x14ac:dyDescent="0.2">
      <c r="B24" s="44">
        <v>18</v>
      </c>
      <c r="C24" s="45" t="str">
        <f>'ЖЭУ 3'!Z5</f>
        <v>Поверка, замена вышедшего из строя оборудования коллективног ОПУ электрической энергии</v>
      </c>
      <c r="D24" s="46" t="s">
        <v>90</v>
      </c>
      <c r="E24" s="47">
        <f ca="1">SUMIF('ЖЭУ 3'!$D$5:$AF$6,'Ленина 1'!$C24,'ЖЭУ 3'!$D$23:$AF$23)</f>
        <v>0.38</v>
      </c>
    </row>
    <row r="25" spans="2:8" ht="31.9" customHeight="1" thickBot="1" x14ac:dyDescent="0.25">
      <c r="B25" s="48">
        <v>19</v>
      </c>
      <c r="C25" s="49" t="str">
        <f>'ЖЭУ 3'!AA5</f>
        <v>Техническое обслуживание систем аудидомофонной связи</v>
      </c>
      <c r="D25" s="50" t="s">
        <v>90</v>
      </c>
      <c r="E25" s="51">
        <f ca="1">SUMIF('ЖЭУ 3'!$D$5:$AF$6,'Ленина 1'!$C25,'ЖЭУ 3'!$D$23:$AF$23)</f>
        <v>0</v>
      </c>
    </row>
    <row r="26" spans="2:8" ht="11.45" customHeight="1" thickBot="1" x14ac:dyDescent="0.25">
      <c r="B26" s="116" t="s">
        <v>91</v>
      </c>
      <c r="C26" s="116"/>
    </row>
    <row r="27" spans="2:8" ht="25.15" customHeight="1" x14ac:dyDescent="0.2">
      <c r="B27" s="113" t="str">
        <f>CONCATENATE($I$5,$I$3)</f>
        <v>Расходы по коммунальным услугам, потребленным на содержание общего иммущества многоквартирного дома№ 4А ул. Мира</v>
      </c>
      <c r="C27" s="114"/>
      <c r="D27" s="114"/>
      <c r="E27" s="115"/>
    </row>
    <row r="28" spans="2:8" ht="25.15" customHeight="1" x14ac:dyDescent="0.2">
      <c r="B28" s="44">
        <v>1</v>
      </c>
      <c r="C28" s="45" t="str">
        <f>'ЖЭУ 3'!AB5</f>
        <v>Электрическая энергия, потребляемая при содержании общего имущества в МКД</v>
      </c>
      <c r="D28" s="46" t="s">
        <v>90</v>
      </c>
      <c r="E28" s="47">
        <f ca="1">SUMIF('ЖЭУ 3'!$D$5:$AF$6,'Ленина 1'!$C28,'ЖЭУ 3'!$D$23:$AF$23)</f>
        <v>1.0576561832061069</v>
      </c>
      <c r="G28" s="52"/>
    </row>
    <row r="29" spans="2:8" ht="25.15" customHeight="1" x14ac:dyDescent="0.2">
      <c r="B29" s="44">
        <v>2</v>
      </c>
      <c r="C29" s="45" t="str">
        <f>'ЖЭУ 3'!AC5</f>
        <v>Холодная вода, потребляемая при содержании общего имущества в МКД</v>
      </c>
      <c r="D29" s="46" t="s">
        <v>90</v>
      </c>
      <c r="E29" s="47">
        <f ca="1">SUMIF('ЖЭУ 3'!$D$5:$AF$6,'Ленина 1'!$C29,'ЖЭУ 3'!$D$23:$AF$23)</f>
        <v>0.17251762809160304</v>
      </c>
      <c r="G29" s="52">
        <f ca="1">SUM(E28:E32)</f>
        <v>2.1367450039694655</v>
      </c>
      <c r="H29" s="52">
        <f ca="1">G29-'ЖЭУ 3'!AJ23</f>
        <v>0</v>
      </c>
    </row>
    <row r="30" spans="2:8" ht="27.6" customHeight="1" x14ac:dyDescent="0.2">
      <c r="B30" s="44">
        <v>3</v>
      </c>
      <c r="C30" s="45" t="str">
        <f>'ЖЭУ 3'!AD5</f>
        <v>Холодная вода в составе горячей на содержание общего имущества МКД</v>
      </c>
      <c r="D30" s="46" t="s">
        <v>90</v>
      </c>
      <c r="E30" s="47">
        <f ca="1">SUMIF('ЖЭУ 3'!$D$5:$AF$6,'Ленина 1'!$C30,'ЖЭУ 3'!$D$23:$AF$23)</f>
        <v>0.57397476641221368</v>
      </c>
    </row>
    <row r="31" spans="2:8" ht="27.6" customHeight="1" x14ac:dyDescent="0.2">
      <c r="B31" s="44">
        <v>4</v>
      </c>
      <c r="C31" s="45" t="str">
        <f>'ЖЭУ 3'!AE5</f>
        <v>Горячая вода, потребляемая при содержании общего имущества в МКД</v>
      </c>
      <c r="D31" s="46" t="s">
        <v>90</v>
      </c>
      <c r="E31" s="47">
        <f ca="1">SUMIF('ЖЭУ 3'!$D$5:$AF$6,'Ленина 1'!$C31,'ЖЭУ 3'!$D$23:$AF$23)</f>
        <v>0</v>
      </c>
    </row>
    <row r="32" spans="2:8" ht="27.6" customHeight="1" thickBot="1" x14ac:dyDescent="0.25">
      <c r="B32" s="48">
        <v>5</v>
      </c>
      <c r="C32" s="49" t="str">
        <f>'ЖЭУ 3'!AF5</f>
        <v>Водоотведение при содержании общего имущества в МКД</v>
      </c>
      <c r="D32" s="50" t="s">
        <v>90</v>
      </c>
      <c r="E32" s="51">
        <f ca="1">SUMIF('ЖЭУ 3'!$D$5:$AF$6,'Ленина 1'!$C32,'ЖЭУ 3'!$D$23:$AF$23)</f>
        <v>0.33259642625954194</v>
      </c>
    </row>
    <row r="33" spans="2:8" ht="11.45" customHeight="1" x14ac:dyDescent="0.2">
      <c r="B33" s="53"/>
      <c r="C33" s="59"/>
      <c r="D33" s="55"/>
      <c r="E33" s="56"/>
    </row>
    <row r="34" spans="2:8" ht="21.6" customHeight="1" x14ac:dyDescent="0.2">
      <c r="B34" s="116" t="s">
        <v>92</v>
      </c>
      <c r="C34" s="116"/>
      <c r="D34" s="116"/>
      <c r="E34" s="116"/>
      <c r="G34" s="58"/>
    </row>
    <row r="35" spans="2:8" ht="15" customHeight="1" x14ac:dyDescent="0.2">
      <c r="B35" s="116"/>
      <c r="C35" s="116"/>
      <c r="D35" s="116"/>
      <c r="E35" s="116"/>
      <c r="H35" s="52"/>
    </row>
    <row r="36" spans="2:8" x14ac:dyDescent="0.2">
      <c r="B36" s="57"/>
      <c r="C36" s="59"/>
      <c r="D36" s="55"/>
      <c r="E36" s="56"/>
      <c r="G36" s="60"/>
      <c r="H36" s="61"/>
    </row>
    <row r="37" spans="2:8" x14ac:dyDescent="0.2">
      <c r="B37" s="117"/>
      <c r="C37" s="117"/>
      <c r="G37" s="60"/>
      <c r="H37" s="62"/>
    </row>
    <row r="38" spans="2:8" x14ac:dyDescent="0.2">
      <c r="B38" s="118" t="s">
        <v>93</v>
      </c>
      <c r="C38" s="118"/>
      <c r="E38" s="42" t="s">
        <v>94</v>
      </c>
      <c r="H38" s="63"/>
    </row>
  </sheetData>
  <mergeCells count="10">
    <mergeCell ref="B27:E27"/>
    <mergeCell ref="B34:E35"/>
    <mergeCell ref="B37:C37"/>
    <mergeCell ref="B38:C38"/>
    <mergeCell ref="B4:E4"/>
    <mergeCell ref="B5:B6"/>
    <mergeCell ref="C5:C6"/>
    <mergeCell ref="D5:D6"/>
    <mergeCell ref="E5:E6"/>
    <mergeCell ref="B26:C26"/>
  </mergeCells>
  <pageMargins left="0.7" right="0.7" top="0.75" bottom="0.75" header="0.3" footer="0.3"/>
  <pageSetup paperSize="9" scale="6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view="pageBreakPreview" topLeftCell="A5" zoomScale="75" zoomScaleNormal="100" zoomScaleSheetLayoutView="75" workbookViewId="0">
      <selection activeCell="F1" sqref="F1:F2"/>
    </sheetView>
  </sheetViews>
  <sheetFormatPr defaultColWidth="8.85546875" defaultRowHeight="12.75" x14ac:dyDescent="0.2"/>
  <cols>
    <col min="1" max="1" width="3.42578125" style="41" customWidth="1"/>
    <col min="2" max="2" width="4.85546875" style="41" customWidth="1"/>
    <col min="3" max="3" width="43.7109375" style="41" customWidth="1"/>
    <col min="4" max="4" width="9" style="41" bestFit="1" customWidth="1"/>
    <col min="5" max="5" width="12.5703125" style="42" customWidth="1"/>
    <col min="6" max="16384" width="8.85546875" style="41"/>
  </cols>
  <sheetData>
    <row r="1" spans="2:9" x14ac:dyDescent="0.2">
      <c r="F1" s="43" t="s">
        <v>85</v>
      </c>
    </row>
    <row r="2" spans="2:9" ht="15" x14ac:dyDescent="0.35">
      <c r="F2" s="90" t="s">
        <v>139</v>
      </c>
    </row>
    <row r="3" spans="2:9" ht="13.5" thickBot="1" x14ac:dyDescent="0.25">
      <c r="I3" s="41" t="s">
        <v>113</v>
      </c>
    </row>
    <row r="4" spans="2:9" ht="24" customHeight="1" x14ac:dyDescent="0.2">
      <c r="B4" s="119" t="str">
        <f>CONCATENATE($I$4,$I$3)</f>
        <v>Размер платы на содержание общего имущества многоквартирного дома№ 6 ул. Мира</v>
      </c>
      <c r="C4" s="120"/>
      <c r="D4" s="120"/>
      <c r="E4" s="121"/>
      <c r="I4" s="41" t="s">
        <v>96</v>
      </c>
    </row>
    <row r="5" spans="2:9" ht="13.9" customHeight="1" x14ac:dyDescent="0.2">
      <c r="B5" s="122" t="s">
        <v>1</v>
      </c>
      <c r="C5" s="123" t="s">
        <v>87</v>
      </c>
      <c r="D5" s="124" t="s">
        <v>88</v>
      </c>
      <c r="E5" s="125" t="s">
        <v>89</v>
      </c>
      <c r="I5" s="41" t="s">
        <v>97</v>
      </c>
    </row>
    <row r="6" spans="2:9" x14ac:dyDescent="0.2">
      <c r="B6" s="122"/>
      <c r="C6" s="123"/>
      <c r="D6" s="124"/>
      <c r="E6" s="125"/>
    </row>
    <row r="7" spans="2:9" ht="41.45" customHeight="1" x14ac:dyDescent="0.2">
      <c r="B7" s="44">
        <v>1</v>
      </c>
      <c r="C7" s="45" t="str">
        <f>'ЖЭУ 3'!D5</f>
        <v xml:space="preserve">Управление  многоквартирным домом   </v>
      </c>
      <c r="D7" s="46" t="s">
        <v>90</v>
      </c>
      <c r="E7" s="47">
        <f ca="1">SUMIF('ЖЭУ 3'!$D$5:$AF$6,'Ленина 1'!$C7,'ЖЭУ 3'!$D$24:$AF$24)</f>
        <v>5.04</v>
      </c>
    </row>
    <row r="8" spans="2:9" ht="41.45" customHeight="1" x14ac:dyDescent="0.2">
      <c r="B8" s="44">
        <v>2</v>
      </c>
      <c r="C8" s="45" t="str">
        <f>'ЖЭУ 3'!E5</f>
        <v>Уборка и санитарно-гигиеническая очистка 
лестничных клеток</v>
      </c>
      <c r="D8" s="46" t="s">
        <v>90</v>
      </c>
      <c r="E8" s="47">
        <f ca="1">SUMIF('ЖЭУ 3'!$D$5:$AF$6,'Ленина 1'!$C8,'ЖЭУ 3'!$D$24:$AF$24)</f>
        <v>5.4</v>
      </c>
    </row>
    <row r="9" spans="2:9" ht="41.45" customHeight="1" x14ac:dyDescent="0.2">
      <c r="B9" s="44">
        <v>3</v>
      </c>
      <c r="C9" s="45" t="str">
        <f>'ЖЭУ 3'!F5</f>
        <v>Уборка и санитарно-гигиеническая очистка земельного участка и контейнерных площадок</v>
      </c>
      <c r="D9" s="46" t="s">
        <v>90</v>
      </c>
      <c r="E9" s="47">
        <f ca="1">SUMIF('ЖЭУ 3'!$D$5:$AF$6,'Ленина 1'!$C9,'ЖЭУ 3'!$D$24:$AF$24)</f>
        <v>6.8</v>
      </c>
    </row>
    <row r="10" spans="2:9" ht="41.45" customHeight="1" x14ac:dyDescent="0.2">
      <c r="B10" s="44">
        <v>4</v>
      </c>
      <c r="C10" s="45" t="str">
        <f>'ЖЭУ 3'!G5</f>
        <v>Содержание и техническое обслуживание конструктивных элементов</v>
      </c>
      <c r="D10" s="46" t="s">
        <v>90</v>
      </c>
      <c r="E10" s="47">
        <f ca="1">SUMIF('ЖЭУ 3'!$D$5:$AF$6,'Ленина 1'!$C10,'ЖЭУ 3'!$D$24:$AF$24)</f>
        <v>2.23</v>
      </c>
    </row>
    <row r="11" spans="2:9" ht="41.45" customHeight="1" x14ac:dyDescent="0.2">
      <c r="B11" s="44">
        <v>5</v>
      </c>
      <c r="C11" s="45" t="str">
        <f>'ЖЭУ 3'!H5</f>
        <v>Содержание и техническое обслуживание внутридомовых систем холодного и горячего водоснабжения, отопления и канализации</v>
      </c>
      <c r="D11" s="46" t="s">
        <v>90</v>
      </c>
      <c r="E11" s="47">
        <f ca="1">SUMIF('ЖЭУ 3'!$D$5:$AF$6,'Ленина 1'!$C11,'ЖЭУ 3'!$D$24:$AF$24)</f>
        <v>3.06</v>
      </c>
    </row>
    <row r="12" spans="2:9" ht="41.45" customHeight="1" x14ac:dyDescent="0.2">
      <c r="B12" s="44">
        <v>6</v>
      </c>
      <c r="C12" s="45" t="str">
        <f>'ЖЭУ 3'!I5</f>
        <v>Содержание и техническое обслуживание внутридомовых систем электроснабжения</v>
      </c>
      <c r="D12" s="46" t="s">
        <v>90</v>
      </c>
      <c r="E12" s="47">
        <f ca="1">SUMIF('ЖЭУ 3'!$D$5:$AF$6,'Ленина 1'!$C12,'ЖЭУ 3'!$D$24:$AF$24)</f>
        <v>2.54</v>
      </c>
    </row>
    <row r="13" spans="2:9" ht="41.45" customHeight="1" x14ac:dyDescent="0.2">
      <c r="B13" s="44">
        <v>7</v>
      </c>
      <c r="C13" s="45" t="str">
        <f>'ЖЭУ 3'!J5</f>
        <v>Текущий ремонт МКД</v>
      </c>
      <c r="D13" s="46" t="s">
        <v>90</v>
      </c>
      <c r="E13" s="47">
        <f ca="1">SUMIF('ЖЭУ 3'!$D$5:$AF$6,'Ленина 1'!$C13,'ЖЭУ 3'!$D$24:$AF$24)</f>
        <v>10.135</v>
      </c>
    </row>
    <row r="14" spans="2:9" ht="41.45" customHeight="1" x14ac:dyDescent="0.2">
      <c r="B14" s="44">
        <v>8</v>
      </c>
      <c r="C14" s="45" t="str">
        <f>'ЖЭУ 3'!P5</f>
        <v>Дератизация, дезинсекция помещений</v>
      </c>
      <c r="D14" s="46" t="s">
        <v>90</v>
      </c>
      <c r="E14" s="47">
        <f ca="1">SUMIF('ЖЭУ 3'!$D$5:$AF$6,'Ленина 1'!$C14,'ЖЭУ 3'!$D$24:$AF$24)</f>
        <v>0.1</v>
      </c>
    </row>
    <row r="15" spans="2:9" ht="41.45" customHeight="1" x14ac:dyDescent="0.2">
      <c r="B15" s="44">
        <v>9</v>
      </c>
      <c r="C15" s="45" t="str">
        <f>'ЖЭУ 3'!Q5</f>
        <v>Благоустройство придомовой территории</v>
      </c>
      <c r="D15" s="46" t="s">
        <v>90</v>
      </c>
      <c r="E15" s="47">
        <f ca="1">SUMIF('ЖЭУ 3'!$D$5:$AF$6,'Ленина 1'!$C15,'ЖЭУ 3'!$D$24:$AF$24)</f>
        <v>0.37</v>
      </c>
    </row>
    <row r="16" spans="2:9" ht="41.45" customHeight="1" x14ac:dyDescent="0.2">
      <c r="B16" s="44">
        <v>10</v>
      </c>
      <c r="C16" s="45" t="str">
        <f>'ЖЭУ 3'!R5</f>
        <v>Сбор и вывоз твердых коммунальных отходов</v>
      </c>
      <c r="D16" s="46" t="s">
        <v>90</v>
      </c>
      <c r="E16" s="47">
        <f ca="1">SUMIF('ЖЭУ 3'!$D$5:$AF$6,'Ленина 1'!$C16,'ЖЭУ 3'!$D$24:$AF$24)</f>
        <v>1.48</v>
      </c>
    </row>
    <row r="17" spans="2:8" ht="41.45" customHeight="1" x14ac:dyDescent="0.2">
      <c r="B17" s="44">
        <v>11</v>
      </c>
      <c r="C17" s="45" t="str">
        <f>'ЖЭУ 3'!S5</f>
        <v>Механизированная уборка территорий от снега</v>
      </c>
      <c r="D17" s="46" t="s">
        <v>90</v>
      </c>
      <c r="E17" s="47">
        <f ca="1">SUMIF('ЖЭУ 3'!$D$5:$AF$6,'Ленина 1'!$C17,'ЖЭУ 3'!$D$24:$AF$24)</f>
        <v>0.54</v>
      </c>
    </row>
    <row r="18" spans="2:8" ht="41.45" customHeight="1" x14ac:dyDescent="0.2">
      <c r="B18" s="44">
        <v>12</v>
      </c>
      <c r="C18" s="45" t="str">
        <f>'ЖЭУ 3'!T5</f>
        <v>Содержание, техническое обслуживание КОДПУ тепловой энергии на отопление</v>
      </c>
      <c r="D18" s="46" t="s">
        <v>90</v>
      </c>
      <c r="E18" s="47">
        <f ca="1">SUMIF('ЖЭУ 3'!$D$5:$AF$6,'Ленина 1'!$C18,'ЖЭУ 3'!$D$24:$AF$24)</f>
        <v>0.37</v>
      </c>
    </row>
    <row r="19" spans="2:8" ht="41.45" customHeight="1" x14ac:dyDescent="0.2">
      <c r="B19" s="44">
        <v>13</v>
      </c>
      <c r="C19" s="45" t="str">
        <f>'ЖЭУ 3'!U5</f>
        <v>Содержание, техническое обслуживание КОДПУ горячего водоснабжения</v>
      </c>
      <c r="D19" s="46" t="s">
        <v>90</v>
      </c>
      <c r="E19" s="47">
        <f ca="1">SUMIF('ЖЭУ 3'!$D$5:$AF$6,'Ленина 1'!$C19,'ЖЭУ 3'!$D$24:$AF$24)</f>
        <v>0</v>
      </c>
    </row>
    <row r="20" spans="2:8" ht="41.45" customHeight="1" x14ac:dyDescent="0.2">
      <c r="B20" s="44">
        <v>14</v>
      </c>
      <c r="C20" s="45" t="str">
        <f>'ЖЭУ 3'!V5</f>
        <v>Содержание, техническое обслуживание КОДПУ холодного водоснабжения</v>
      </c>
      <c r="D20" s="46" t="s">
        <v>90</v>
      </c>
      <c r="E20" s="47">
        <f ca="1">SUMIF('ЖЭУ 3'!$D$5:$AF$6,'Ленина 1'!$C20,'ЖЭУ 3'!$D$24:$AF$24)</f>
        <v>0.26</v>
      </c>
    </row>
    <row r="21" spans="2:8" ht="41.45" customHeight="1" x14ac:dyDescent="0.2">
      <c r="B21" s="44">
        <v>15</v>
      </c>
      <c r="C21" s="45" t="str">
        <f>'ЖЭУ 3'!W5</f>
        <v>Поверка, замена вышедшего из строя оборудования коллективног ОПУ тепловой энергии на отопление</v>
      </c>
      <c r="D21" s="46" t="s">
        <v>90</v>
      </c>
      <c r="E21" s="47">
        <f ca="1">SUMIF('ЖЭУ 3'!$D$5:$AF$6,'Ленина 1'!$C21,'ЖЭУ 3'!$D$24:$AF$24)</f>
        <v>0.25</v>
      </c>
    </row>
    <row r="22" spans="2:8" ht="41.45" customHeight="1" x14ac:dyDescent="0.2">
      <c r="B22" s="44">
        <v>16</v>
      </c>
      <c r="C22" s="45" t="str">
        <f>'ЖЭУ 3'!X5</f>
        <v>Поверка, замена вышедшего из строя оборудования коллективног ОПУ горячего водоснабжения</v>
      </c>
      <c r="D22" s="46" t="s">
        <v>90</v>
      </c>
      <c r="E22" s="47">
        <f ca="1">SUMIF('ЖЭУ 3'!$D$5:$AF$6,'Ленина 1'!$C22,'ЖЭУ 3'!$D$24:$AF$24)</f>
        <v>0</v>
      </c>
      <c r="G22" s="52">
        <f ca="1">SUM(E7:E25)</f>
        <v>38.954999999999991</v>
      </c>
      <c r="H22" s="52">
        <f ca="1">G22-'ЖЭУ 3'!AK24</f>
        <v>0</v>
      </c>
    </row>
    <row r="23" spans="2:8" ht="33" customHeight="1" x14ac:dyDescent="0.2">
      <c r="B23" s="44">
        <v>17</v>
      </c>
      <c r="C23" s="45" t="str">
        <f>'ЖЭУ 3'!Y5</f>
        <v>Поверка, замена вышедшего из строя оборудования коллективног ОПУ холодного водоснабжения</v>
      </c>
      <c r="D23" s="46" t="s">
        <v>90</v>
      </c>
      <c r="E23" s="47">
        <f ca="1">SUMIF('ЖЭУ 3'!$D$5:$AF$6,'Ленина 1'!$C23,'ЖЭУ 3'!$D$24:$AF$24)</f>
        <v>0.11</v>
      </c>
    </row>
    <row r="24" spans="2:8" ht="43.15" customHeight="1" x14ac:dyDescent="0.2">
      <c r="B24" s="44">
        <v>18</v>
      </c>
      <c r="C24" s="45" t="str">
        <f>'ЖЭУ 3'!Z5</f>
        <v>Поверка, замена вышедшего из строя оборудования коллективног ОПУ электрической энергии</v>
      </c>
      <c r="D24" s="46" t="s">
        <v>90</v>
      </c>
      <c r="E24" s="47">
        <f ca="1">SUMIF('ЖЭУ 3'!$D$5:$AF$6,'Ленина 1'!$C24,'ЖЭУ 3'!$D$24:$AF$24)</f>
        <v>0.27</v>
      </c>
    </row>
    <row r="25" spans="2:8" ht="31.9" customHeight="1" thickBot="1" x14ac:dyDescent="0.25">
      <c r="B25" s="48">
        <v>19</v>
      </c>
      <c r="C25" s="49" t="str">
        <f>'ЖЭУ 3'!AA5</f>
        <v>Техническое обслуживание систем аудидомофонной связи</v>
      </c>
      <c r="D25" s="50" t="s">
        <v>90</v>
      </c>
      <c r="E25" s="51">
        <f ca="1">SUMIF('ЖЭУ 3'!$D$5:$AF$6,'Ленина 1'!$C25,'ЖЭУ 3'!$D$24:$AF$24)</f>
        <v>0</v>
      </c>
    </row>
    <row r="26" spans="2:8" ht="11.45" customHeight="1" thickBot="1" x14ac:dyDescent="0.25">
      <c r="B26" s="116" t="s">
        <v>91</v>
      </c>
      <c r="C26" s="116"/>
    </row>
    <row r="27" spans="2:8" ht="25.15" customHeight="1" x14ac:dyDescent="0.2">
      <c r="B27" s="113" t="str">
        <f>CONCATENATE($I$5,$I$3)</f>
        <v>Расходы по коммунальным услугам, потребленным на содержание общего иммущества многоквартирного дома№ 6 ул. Мира</v>
      </c>
      <c r="C27" s="114"/>
      <c r="D27" s="114"/>
      <c r="E27" s="115"/>
    </row>
    <row r="28" spans="2:8" ht="25.15" customHeight="1" x14ac:dyDescent="0.2">
      <c r="B28" s="44">
        <v>1</v>
      </c>
      <c r="C28" s="45" t="str">
        <f>'ЖЭУ 3'!AB5</f>
        <v>Электрическая энергия, потребляемая при содержании общего имущества в МКД</v>
      </c>
      <c r="D28" s="46" t="s">
        <v>90</v>
      </c>
      <c r="E28" s="47">
        <f ca="1">SUMIF('ЖЭУ 3'!$D$5:$AF$6,'Ленина 1'!$C28,'ЖЭУ 3'!$D$24:$AF$24)</f>
        <v>1.0501528867863672</v>
      </c>
      <c r="G28" s="52"/>
    </row>
    <row r="29" spans="2:8" ht="25.15" customHeight="1" x14ac:dyDescent="0.2">
      <c r="B29" s="44">
        <v>2</v>
      </c>
      <c r="C29" s="45" t="str">
        <f>'ЖЭУ 3'!AC5</f>
        <v>Холодная вода, потребляемая при содержании общего имущества в МКД</v>
      </c>
      <c r="D29" s="46" t="s">
        <v>90</v>
      </c>
      <c r="E29" s="47">
        <f ca="1">SUMIF('ЖЭУ 3'!$D$5:$AF$6,'Ленина 1'!$C29,'ЖЭУ 3'!$D$24:$AF$24)</f>
        <v>0.18519372282550262</v>
      </c>
      <c r="G29" s="52">
        <f ca="1">SUM(E28:E32)</f>
        <v>2.2085300230082785</v>
      </c>
      <c r="H29" s="52">
        <f ca="1">G29-'ЖЭУ 3'!AJ24</f>
        <v>0</v>
      </c>
    </row>
    <row r="30" spans="2:8" ht="27.6" customHeight="1" x14ac:dyDescent="0.2">
      <c r="B30" s="44">
        <v>3</v>
      </c>
      <c r="C30" s="45" t="str">
        <f>'ЖЭУ 3'!AD5</f>
        <v>Холодная вода в составе горячей на содержание общего имущества МКД</v>
      </c>
      <c r="D30" s="46" t="s">
        <v>90</v>
      </c>
      <c r="E30" s="47">
        <f ca="1">SUMIF('ЖЭУ 3'!$D$5:$AF$6,'Ленина 1'!$C30,'ЖЭУ 3'!$D$24:$AF$24)</f>
        <v>0.61614876679926878</v>
      </c>
    </row>
    <row r="31" spans="2:8" ht="27.6" customHeight="1" x14ac:dyDescent="0.2">
      <c r="B31" s="44">
        <v>4</v>
      </c>
      <c r="C31" s="45" t="str">
        <f>'ЖЭУ 3'!AE5</f>
        <v>Горячая вода, потребляемая при содержании общего имущества в МКД</v>
      </c>
      <c r="D31" s="46" t="s">
        <v>90</v>
      </c>
      <c r="E31" s="47">
        <f ca="1">SUMIF('ЖЭУ 3'!$D$5:$AF$6,'Ленина 1'!$C31,'ЖЭУ 3'!$D$24:$AF$24)</f>
        <v>0</v>
      </c>
    </row>
    <row r="32" spans="2:8" ht="27.6" customHeight="1" thickBot="1" x14ac:dyDescent="0.25">
      <c r="B32" s="48">
        <v>5</v>
      </c>
      <c r="C32" s="49" t="str">
        <f>'ЖЭУ 3'!AF5</f>
        <v>Водоотведение при содержании общего имущества в МКД</v>
      </c>
      <c r="D32" s="50" t="s">
        <v>90</v>
      </c>
      <c r="E32" s="51">
        <f ca="1">SUMIF('ЖЭУ 3'!$D$5:$AF$6,'Ленина 1'!$C32,'ЖЭУ 3'!$D$24:$AF$24)</f>
        <v>0.35703464659714002</v>
      </c>
    </row>
    <row r="33" spans="2:8" ht="11.45" customHeight="1" x14ac:dyDescent="0.2">
      <c r="B33" s="53"/>
      <c r="C33" s="59"/>
      <c r="D33" s="55"/>
      <c r="E33" s="56"/>
    </row>
    <row r="34" spans="2:8" ht="21.6" customHeight="1" x14ac:dyDescent="0.2">
      <c r="B34" s="116" t="s">
        <v>92</v>
      </c>
      <c r="C34" s="116"/>
      <c r="D34" s="116"/>
      <c r="E34" s="116"/>
      <c r="G34" s="58"/>
    </row>
    <row r="35" spans="2:8" ht="15" customHeight="1" x14ac:dyDescent="0.2">
      <c r="B35" s="116"/>
      <c r="C35" s="116"/>
      <c r="D35" s="116"/>
      <c r="E35" s="116"/>
      <c r="H35" s="52"/>
    </row>
    <row r="36" spans="2:8" x14ac:dyDescent="0.2">
      <c r="B36" s="57"/>
      <c r="C36" s="59"/>
      <c r="D36" s="55"/>
      <c r="E36" s="56"/>
      <c r="G36" s="60"/>
      <c r="H36" s="61"/>
    </row>
    <row r="37" spans="2:8" x14ac:dyDescent="0.2">
      <c r="B37" s="117"/>
      <c r="C37" s="117"/>
      <c r="G37" s="60"/>
      <c r="H37" s="62"/>
    </row>
    <row r="38" spans="2:8" x14ac:dyDescent="0.2">
      <c r="B38" s="118" t="s">
        <v>93</v>
      </c>
      <c r="C38" s="118"/>
      <c r="E38" s="42" t="s">
        <v>94</v>
      </c>
      <c r="H38" s="63"/>
    </row>
  </sheetData>
  <mergeCells count="10">
    <mergeCell ref="B27:E27"/>
    <mergeCell ref="B34:E35"/>
    <mergeCell ref="B37:C37"/>
    <mergeCell ref="B38:C38"/>
    <mergeCell ref="B4:E4"/>
    <mergeCell ref="B5:B6"/>
    <mergeCell ref="C5:C6"/>
    <mergeCell ref="D5:D6"/>
    <mergeCell ref="E5:E6"/>
    <mergeCell ref="B26:C26"/>
  </mergeCells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39"/>
  <sheetViews>
    <sheetView topLeftCell="A97" zoomScaleNormal="100" workbookViewId="0">
      <selection activeCell="D114" sqref="D114"/>
    </sheetView>
  </sheetViews>
  <sheetFormatPr defaultColWidth="8.85546875" defaultRowHeight="12.75" x14ac:dyDescent="0.25"/>
  <cols>
    <col min="1" max="2" width="14.42578125" style="2" customWidth="1"/>
    <col min="3" max="3" width="12.5703125" style="2" customWidth="1"/>
    <col min="4" max="4" width="8" style="2" customWidth="1"/>
    <col min="5" max="5" width="12.5703125" style="2" customWidth="1"/>
    <col min="6" max="6" width="9.7109375" style="2" customWidth="1"/>
    <col min="7" max="7" width="8.85546875" style="2" customWidth="1"/>
    <col min="8" max="9" width="8.85546875" style="2"/>
    <col min="10" max="10" width="8.85546875" style="2" customWidth="1"/>
    <col min="11" max="16384" width="8.85546875" style="2"/>
  </cols>
  <sheetData>
    <row r="1" spans="1:15" x14ac:dyDescent="0.25">
      <c r="H1" s="77" t="s">
        <v>133</v>
      </c>
    </row>
    <row r="2" spans="1:15" x14ac:dyDescent="0.25">
      <c r="F2" s="112" t="s">
        <v>134</v>
      </c>
      <c r="G2" s="112"/>
      <c r="H2" s="112"/>
    </row>
    <row r="3" spans="1:15" ht="13.5" thickBot="1" x14ac:dyDescent="0.3">
      <c r="A3" s="66" t="s">
        <v>41</v>
      </c>
      <c r="B3" s="1"/>
      <c r="F3" s="112"/>
      <c r="G3" s="112"/>
      <c r="H3" s="112"/>
      <c r="J3" s="2">
        <v>1.95</v>
      </c>
      <c r="O3" s="2">
        <v>0.04</v>
      </c>
    </row>
    <row r="4" spans="1:15" ht="51" customHeight="1" thickBot="1" x14ac:dyDescent="0.3">
      <c r="A4" s="74" t="s">
        <v>2</v>
      </c>
      <c r="B4" s="75" t="s">
        <v>8</v>
      </c>
      <c r="C4" s="75" t="s">
        <v>9</v>
      </c>
      <c r="D4" s="75" t="s">
        <v>10</v>
      </c>
      <c r="E4" s="75" t="s">
        <v>11</v>
      </c>
      <c r="F4" s="75" t="s">
        <v>12</v>
      </c>
      <c r="G4" s="75" t="s">
        <v>13</v>
      </c>
      <c r="H4" s="76" t="s">
        <v>14</v>
      </c>
      <c r="I4" s="34" t="s">
        <v>81</v>
      </c>
      <c r="J4" s="34" t="s">
        <v>82</v>
      </c>
    </row>
    <row r="5" spans="1:15" ht="12.6" customHeight="1" thickBot="1" x14ac:dyDescent="0.3">
      <c r="A5" s="72" t="s">
        <v>46</v>
      </c>
      <c r="B5" s="3">
        <v>5591.1</v>
      </c>
      <c r="C5" s="3">
        <f>699.2+1235.5</f>
        <v>1934.7</v>
      </c>
      <c r="D5" s="4">
        <v>1.6</v>
      </c>
      <c r="E5" s="3">
        <f t="shared" ref="E5:E35" si="0">C5*D5</f>
        <v>3095.5200000000004</v>
      </c>
      <c r="F5" s="4">
        <f>$J$3</f>
        <v>1.95</v>
      </c>
      <c r="G5" s="3">
        <f t="shared" ref="G5:G35" si="1">E5*F5</f>
        <v>6036.264000000001</v>
      </c>
      <c r="H5" s="67">
        <f t="shared" ref="H5:H35" si="2">G5/B5</f>
        <v>1.0796201105328112</v>
      </c>
      <c r="I5" s="35">
        <v>0.99</v>
      </c>
      <c r="J5" s="36">
        <f>I5*$O$3+I5</f>
        <v>1.0296000000000001</v>
      </c>
      <c r="K5" s="5"/>
    </row>
    <row r="6" spans="1:15" ht="12.6" customHeight="1" thickBot="1" x14ac:dyDescent="0.3">
      <c r="A6" s="72" t="s">
        <v>47</v>
      </c>
      <c r="B6" s="3">
        <v>3358.9</v>
      </c>
      <c r="C6" s="3">
        <f>328.7+712.7</f>
        <v>1041.4000000000001</v>
      </c>
      <c r="D6" s="4">
        <v>1.6</v>
      </c>
      <c r="E6" s="3">
        <f t="shared" si="0"/>
        <v>1666.2400000000002</v>
      </c>
      <c r="F6" s="4">
        <f t="shared" ref="F6:F35" si="3">$J$3</f>
        <v>1.95</v>
      </c>
      <c r="G6" s="3">
        <f t="shared" si="1"/>
        <v>3249.1680000000006</v>
      </c>
      <c r="H6" s="67">
        <f t="shared" si="2"/>
        <v>0.96733097144898639</v>
      </c>
      <c r="I6" s="35">
        <v>0.93</v>
      </c>
      <c r="J6" s="36">
        <f t="shared" ref="J6:J35" si="4">I6*$O$3+I6</f>
        <v>0.96720000000000006</v>
      </c>
      <c r="K6" s="5"/>
    </row>
    <row r="7" spans="1:15" ht="12.6" customHeight="1" thickBot="1" x14ac:dyDescent="0.3">
      <c r="A7" s="72" t="s">
        <v>48</v>
      </c>
      <c r="B7" s="3">
        <v>5560.3</v>
      </c>
      <c r="C7" s="3">
        <f>686.3+1419.5</f>
        <v>2105.8000000000002</v>
      </c>
      <c r="D7" s="4">
        <v>1.6</v>
      </c>
      <c r="E7" s="3">
        <f t="shared" si="0"/>
        <v>3369.2800000000007</v>
      </c>
      <c r="F7" s="4">
        <f t="shared" si="3"/>
        <v>1.95</v>
      </c>
      <c r="G7" s="3">
        <f t="shared" si="1"/>
        <v>6570.0960000000014</v>
      </c>
      <c r="H7" s="67">
        <f t="shared" si="2"/>
        <v>1.1816081866086365</v>
      </c>
      <c r="I7" s="35">
        <v>1.1399999999999999</v>
      </c>
      <c r="J7" s="36">
        <f t="shared" si="4"/>
        <v>1.1856</v>
      </c>
      <c r="K7" s="5"/>
    </row>
    <row r="8" spans="1:15" ht="12.6" customHeight="1" thickBot="1" x14ac:dyDescent="0.3">
      <c r="A8" s="72" t="s">
        <v>49</v>
      </c>
      <c r="B8" s="3">
        <v>6351.1</v>
      </c>
      <c r="C8" s="3">
        <f>263.6+1369.6</f>
        <v>1633.1999999999998</v>
      </c>
      <c r="D8" s="4">
        <v>1.6</v>
      </c>
      <c r="E8" s="3">
        <f t="shared" si="0"/>
        <v>2613.12</v>
      </c>
      <c r="F8" s="4">
        <f t="shared" si="3"/>
        <v>1.95</v>
      </c>
      <c r="G8" s="3">
        <f t="shared" si="1"/>
        <v>5095.5839999999998</v>
      </c>
      <c r="H8" s="67">
        <f t="shared" si="2"/>
        <v>0.80231518949473313</v>
      </c>
      <c r="I8" s="35">
        <v>0.78</v>
      </c>
      <c r="J8" s="36">
        <f t="shared" si="4"/>
        <v>0.81120000000000003</v>
      </c>
      <c r="K8" s="5"/>
      <c r="L8" s="5"/>
      <c r="M8" s="5"/>
    </row>
    <row r="9" spans="1:15" ht="12.6" customHeight="1" thickBot="1" x14ac:dyDescent="0.3">
      <c r="A9" s="72" t="s">
        <v>50</v>
      </c>
      <c r="B9" s="3">
        <v>6297.3</v>
      </c>
      <c r="C9" s="3">
        <f>267.5+1395</f>
        <v>1662.5</v>
      </c>
      <c r="D9" s="4">
        <v>1.6</v>
      </c>
      <c r="E9" s="3">
        <f t="shared" si="0"/>
        <v>2660</v>
      </c>
      <c r="F9" s="4">
        <f t="shared" si="3"/>
        <v>1.95</v>
      </c>
      <c r="G9" s="3">
        <f t="shared" si="1"/>
        <v>5187</v>
      </c>
      <c r="H9" s="67">
        <f t="shared" si="2"/>
        <v>0.82368634176551858</v>
      </c>
      <c r="I9" s="35">
        <v>0.78</v>
      </c>
      <c r="J9" s="36">
        <f t="shared" si="4"/>
        <v>0.81120000000000003</v>
      </c>
      <c r="K9" s="5"/>
    </row>
    <row r="10" spans="1:15" ht="12.6" customHeight="1" thickBot="1" x14ac:dyDescent="0.3">
      <c r="A10" s="72" t="s">
        <v>51</v>
      </c>
      <c r="B10" s="3">
        <v>4614.5</v>
      </c>
      <c r="C10" s="3">
        <f>532+1144.3</f>
        <v>1676.3</v>
      </c>
      <c r="D10" s="4">
        <v>1.6</v>
      </c>
      <c r="E10" s="3">
        <f t="shared" si="0"/>
        <v>2682.08</v>
      </c>
      <c r="F10" s="4">
        <f t="shared" si="3"/>
        <v>1.95</v>
      </c>
      <c r="G10" s="3">
        <f t="shared" si="1"/>
        <v>5230.0559999999996</v>
      </c>
      <c r="H10" s="67">
        <f t="shared" si="2"/>
        <v>1.1333960342398959</v>
      </c>
      <c r="I10" s="35">
        <v>1.0900000000000001</v>
      </c>
      <c r="J10" s="36">
        <f t="shared" si="4"/>
        <v>1.1336000000000002</v>
      </c>
      <c r="K10" s="5"/>
      <c r="L10" s="6"/>
    </row>
    <row r="11" spans="1:15" ht="12.6" customHeight="1" thickBot="1" x14ac:dyDescent="0.3">
      <c r="A11" s="72" t="s">
        <v>52</v>
      </c>
      <c r="B11" s="3">
        <v>4606.5</v>
      </c>
      <c r="C11" s="3">
        <f>511.3+1096.8</f>
        <v>1608.1</v>
      </c>
      <c r="D11" s="4">
        <v>1.6</v>
      </c>
      <c r="E11" s="3">
        <f t="shared" si="0"/>
        <v>2572.96</v>
      </c>
      <c r="F11" s="4">
        <f t="shared" si="3"/>
        <v>1.95</v>
      </c>
      <c r="G11" s="3">
        <f t="shared" si="1"/>
        <v>5017.2719999999999</v>
      </c>
      <c r="H11" s="67">
        <f t="shared" si="2"/>
        <v>1.0891722565939432</v>
      </c>
      <c r="I11" s="35">
        <v>1.06</v>
      </c>
      <c r="J11" s="36">
        <f t="shared" si="4"/>
        <v>1.1024</v>
      </c>
      <c r="K11" s="5"/>
    </row>
    <row r="12" spans="1:15" ht="12.6" customHeight="1" thickBot="1" x14ac:dyDescent="0.3">
      <c r="A12" s="72" t="s">
        <v>53</v>
      </c>
      <c r="B12" s="3">
        <v>4647.8999999999996</v>
      </c>
      <c r="C12" s="3">
        <f>522.9+1101.4</f>
        <v>1624.3000000000002</v>
      </c>
      <c r="D12" s="4">
        <v>1.6</v>
      </c>
      <c r="E12" s="3">
        <f t="shared" si="0"/>
        <v>2598.8800000000006</v>
      </c>
      <c r="F12" s="4">
        <f t="shared" si="3"/>
        <v>1.95</v>
      </c>
      <c r="G12" s="3">
        <f t="shared" si="1"/>
        <v>5067.8160000000007</v>
      </c>
      <c r="H12" s="67">
        <f t="shared" si="2"/>
        <v>1.0903453172400441</v>
      </c>
      <c r="I12" s="35">
        <v>1.07</v>
      </c>
      <c r="J12" s="36">
        <f t="shared" si="4"/>
        <v>1.1128</v>
      </c>
      <c r="K12" s="5"/>
    </row>
    <row r="13" spans="1:15" ht="12.6" customHeight="1" thickBot="1" x14ac:dyDescent="0.3">
      <c r="A13" s="72" t="s">
        <v>54</v>
      </c>
      <c r="B13" s="3">
        <v>3474</v>
      </c>
      <c r="C13" s="3">
        <f>468.2+815.4</f>
        <v>1283.5999999999999</v>
      </c>
      <c r="D13" s="4">
        <v>1.6</v>
      </c>
      <c r="E13" s="3">
        <f t="shared" si="0"/>
        <v>2053.7599999999998</v>
      </c>
      <c r="F13" s="4">
        <f t="shared" si="3"/>
        <v>1.95</v>
      </c>
      <c r="G13" s="3">
        <f t="shared" si="1"/>
        <v>4004.8319999999994</v>
      </c>
      <c r="H13" s="67">
        <f t="shared" si="2"/>
        <v>1.1528013816925733</v>
      </c>
      <c r="I13" s="35">
        <v>1.05</v>
      </c>
      <c r="J13" s="36">
        <f t="shared" si="4"/>
        <v>1.0920000000000001</v>
      </c>
      <c r="K13" s="5"/>
    </row>
    <row r="14" spans="1:15" ht="12.6" customHeight="1" thickBot="1" x14ac:dyDescent="0.3">
      <c r="A14" s="72" t="s">
        <v>55</v>
      </c>
      <c r="B14" s="3">
        <v>5501.92</v>
      </c>
      <c r="C14" s="3">
        <f>702.1+1288.1</f>
        <v>1990.1999999999998</v>
      </c>
      <c r="D14" s="4">
        <v>1.6</v>
      </c>
      <c r="E14" s="3">
        <f t="shared" si="0"/>
        <v>3184.3199999999997</v>
      </c>
      <c r="F14" s="4">
        <f t="shared" si="3"/>
        <v>1.95</v>
      </c>
      <c r="G14" s="3">
        <f t="shared" si="1"/>
        <v>6209.4239999999991</v>
      </c>
      <c r="H14" s="67">
        <f t="shared" si="2"/>
        <v>1.1285922005409019</v>
      </c>
      <c r="I14" s="35">
        <v>1.03</v>
      </c>
      <c r="J14" s="36">
        <f t="shared" si="4"/>
        <v>1.0711999999999999</v>
      </c>
      <c r="K14" s="5"/>
    </row>
    <row r="15" spans="1:15" ht="12.6" customHeight="1" thickBot="1" x14ac:dyDescent="0.3">
      <c r="A15" s="72" t="s">
        <v>56</v>
      </c>
      <c r="B15" s="3">
        <v>5501.9</v>
      </c>
      <c r="C15" s="3">
        <f>731.2+1284</f>
        <v>2015.2</v>
      </c>
      <c r="D15" s="4">
        <v>1.6</v>
      </c>
      <c r="E15" s="3">
        <f t="shared" si="0"/>
        <v>3224.32</v>
      </c>
      <c r="F15" s="4">
        <f t="shared" si="3"/>
        <v>1.95</v>
      </c>
      <c r="G15" s="3">
        <f t="shared" si="1"/>
        <v>6287.424</v>
      </c>
      <c r="H15" s="67">
        <f t="shared" si="2"/>
        <v>1.1427732237954162</v>
      </c>
      <c r="I15" s="35">
        <v>1.04</v>
      </c>
      <c r="J15" s="36">
        <f t="shared" si="4"/>
        <v>1.0816000000000001</v>
      </c>
      <c r="K15" s="5"/>
    </row>
    <row r="16" spans="1:15" ht="12.6" customHeight="1" thickBot="1" x14ac:dyDescent="0.3">
      <c r="A16" s="72" t="s">
        <v>57</v>
      </c>
      <c r="B16" s="3">
        <v>894.9</v>
      </c>
      <c r="C16" s="3">
        <f>37.3+88.9+207.7</f>
        <v>333.9</v>
      </c>
      <c r="D16" s="4">
        <v>1.6</v>
      </c>
      <c r="E16" s="3">
        <f t="shared" si="0"/>
        <v>534.24</v>
      </c>
      <c r="F16" s="4">
        <f t="shared" si="3"/>
        <v>1.95</v>
      </c>
      <c r="G16" s="3">
        <f t="shared" si="1"/>
        <v>1041.768</v>
      </c>
      <c r="H16" s="67">
        <f t="shared" si="2"/>
        <v>1.1641166610794502</v>
      </c>
      <c r="I16" s="35">
        <v>1.08</v>
      </c>
      <c r="J16" s="36">
        <f t="shared" si="4"/>
        <v>1.1232</v>
      </c>
      <c r="K16" s="5"/>
    </row>
    <row r="17" spans="1:13" ht="12.6" customHeight="1" thickBot="1" x14ac:dyDescent="0.3">
      <c r="A17" s="72" t="s">
        <v>58</v>
      </c>
      <c r="B17" s="3">
        <v>3437.3</v>
      </c>
      <c r="C17" s="3">
        <f>5.2+5.2+360.6+773.4</f>
        <v>1144.4000000000001</v>
      </c>
      <c r="D17" s="4">
        <v>1.6</v>
      </c>
      <c r="E17" s="3">
        <f t="shared" si="0"/>
        <v>1831.0400000000002</v>
      </c>
      <c r="F17" s="4">
        <f t="shared" si="3"/>
        <v>1.95</v>
      </c>
      <c r="G17" s="3">
        <f t="shared" si="1"/>
        <v>3570.5280000000002</v>
      </c>
      <c r="H17" s="67">
        <f t="shared" si="2"/>
        <v>1.0387594914613214</v>
      </c>
      <c r="I17" s="37">
        <v>1</v>
      </c>
      <c r="J17" s="36">
        <f t="shared" si="4"/>
        <v>1.04</v>
      </c>
      <c r="K17" s="5"/>
    </row>
    <row r="18" spans="1:13" ht="12.6" customHeight="1" thickBot="1" x14ac:dyDescent="0.3">
      <c r="A18" s="72" t="s">
        <v>59</v>
      </c>
      <c r="B18" s="3">
        <v>3349.9</v>
      </c>
      <c r="C18" s="3">
        <f>17+328.6+718.6</f>
        <v>1064.2</v>
      </c>
      <c r="D18" s="4">
        <v>1.6</v>
      </c>
      <c r="E18" s="3">
        <f t="shared" si="0"/>
        <v>1702.7200000000003</v>
      </c>
      <c r="F18" s="4">
        <f t="shared" si="3"/>
        <v>1.95</v>
      </c>
      <c r="G18" s="3">
        <f t="shared" si="1"/>
        <v>3320.3040000000005</v>
      </c>
      <c r="H18" s="67">
        <f t="shared" si="2"/>
        <v>0.99116510940625102</v>
      </c>
      <c r="I18" s="35">
        <v>0.96</v>
      </c>
      <c r="J18" s="36">
        <f t="shared" si="4"/>
        <v>0.99839999999999995</v>
      </c>
      <c r="K18" s="5"/>
    </row>
    <row r="19" spans="1:13" ht="12.6" customHeight="1" thickBot="1" x14ac:dyDescent="0.3">
      <c r="A19" s="72" t="s">
        <v>60</v>
      </c>
      <c r="B19" s="3">
        <v>3411</v>
      </c>
      <c r="C19" s="3">
        <f>360.6+756.2</f>
        <v>1116.8000000000002</v>
      </c>
      <c r="D19" s="4">
        <v>1.6</v>
      </c>
      <c r="E19" s="3">
        <f t="shared" si="0"/>
        <v>1786.8800000000003</v>
      </c>
      <c r="F19" s="4">
        <f t="shared" si="3"/>
        <v>1.95</v>
      </c>
      <c r="G19" s="3">
        <f t="shared" si="1"/>
        <v>3484.4160000000006</v>
      </c>
      <c r="H19" s="67">
        <f t="shared" si="2"/>
        <v>1.0215233069481093</v>
      </c>
      <c r="I19" s="35">
        <v>0.98</v>
      </c>
      <c r="J19" s="36">
        <f t="shared" si="4"/>
        <v>1.0191999999999999</v>
      </c>
      <c r="K19" s="5"/>
    </row>
    <row r="20" spans="1:13" ht="12.6" customHeight="1" thickBot="1" x14ac:dyDescent="0.3">
      <c r="A20" s="72" t="s">
        <v>61</v>
      </c>
      <c r="B20" s="3">
        <v>3275</v>
      </c>
      <c r="C20" s="3">
        <f>369.8+740.4</f>
        <v>1110.2</v>
      </c>
      <c r="D20" s="4">
        <v>1.6</v>
      </c>
      <c r="E20" s="3">
        <f t="shared" si="0"/>
        <v>1776.3200000000002</v>
      </c>
      <c r="F20" s="4">
        <f t="shared" si="3"/>
        <v>1.95</v>
      </c>
      <c r="G20" s="3">
        <f t="shared" si="1"/>
        <v>3463.8240000000001</v>
      </c>
      <c r="H20" s="67">
        <f t="shared" si="2"/>
        <v>1.0576561832061069</v>
      </c>
      <c r="I20" s="35">
        <v>1.02</v>
      </c>
      <c r="J20" s="36">
        <f t="shared" si="4"/>
        <v>1.0608</v>
      </c>
      <c r="K20" s="5"/>
    </row>
    <row r="21" spans="1:13" ht="12.6" customHeight="1" thickBot="1" x14ac:dyDescent="0.3">
      <c r="A21" s="72" t="s">
        <v>62</v>
      </c>
      <c r="B21" s="3">
        <v>4650.5</v>
      </c>
      <c r="C21" s="3">
        <f>563.7+1001.6</f>
        <v>1565.3000000000002</v>
      </c>
      <c r="D21" s="4">
        <v>1.6</v>
      </c>
      <c r="E21" s="3">
        <f t="shared" si="0"/>
        <v>2504.4800000000005</v>
      </c>
      <c r="F21" s="4">
        <f t="shared" si="3"/>
        <v>1.95</v>
      </c>
      <c r="G21" s="3">
        <f t="shared" si="1"/>
        <v>4883.7360000000008</v>
      </c>
      <c r="H21" s="67">
        <f t="shared" si="2"/>
        <v>1.0501528867863672</v>
      </c>
      <c r="I21" s="35">
        <v>1.01</v>
      </c>
      <c r="J21" s="36">
        <f t="shared" si="4"/>
        <v>1.0504</v>
      </c>
      <c r="K21" s="5"/>
      <c r="M21" s="2" t="s">
        <v>6</v>
      </c>
    </row>
    <row r="22" spans="1:13" ht="12.6" customHeight="1" thickBot="1" x14ac:dyDescent="0.3">
      <c r="A22" s="72" t="s">
        <v>63</v>
      </c>
      <c r="B22" s="3">
        <v>3257</v>
      </c>
      <c r="C22" s="3">
        <f>379.7+750.9</f>
        <v>1130.5999999999999</v>
      </c>
      <c r="D22" s="4">
        <v>1.6</v>
      </c>
      <c r="E22" s="3">
        <f t="shared" si="0"/>
        <v>1808.96</v>
      </c>
      <c r="F22" s="4">
        <f t="shared" si="3"/>
        <v>1.95</v>
      </c>
      <c r="G22" s="3">
        <f t="shared" si="1"/>
        <v>3527.4720000000002</v>
      </c>
      <c r="H22" s="67">
        <f t="shared" si="2"/>
        <v>1.0830432913724286</v>
      </c>
      <c r="I22" s="35">
        <v>1.04</v>
      </c>
      <c r="J22" s="36">
        <f t="shared" si="4"/>
        <v>1.0816000000000001</v>
      </c>
      <c r="K22" s="5"/>
    </row>
    <row r="23" spans="1:13" ht="12.6" customHeight="1" thickBot="1" x14ac:dyDescent="0.3">
      <c r="A23" s="72" t="s">
        <v>64</v>
      </c>
      <c r="B23" s="3">
        <v>4619.5</v>
      </c>
      <c r="C23" s="3">
        <f>565+1001.4</f>
        <v>1566.4</v>
      </c>
      <c r="D23" s="4">
        <v>1.6</v>
      </c>
      <c r="E23" s="3">
        <f t="shared" si="0"/>
        <v>2506.2400000000002</v>
      </c>
      <c r="F23" s="4">
        <f t="shared" si="3"/>
        <v>1.95</v>
      </c>
      <c r="G23" s="3">
        <f t="shared" si="1"/>
        <v>4887.1680000000006</v>
      </c>
      <c r="H23" s="67">
        <f t="shared" si="2"/>
        <v>1.0579430674315404</v>
      </c>
      <c r="I23" s="35">
        <v>1.02</v>
      </c>
      <c r="J23" s="36">
        <f t="shared" si="4"/>
        <v>1.0608</v>
      </c>
      <c r="K23" s="5"/>
    </row>
    <row r="24" spans="1:13" ht="12.6" customHeight="1" thickBot="1" x14ac:dyDescent="0.3">
      <c r="A24" s="72" t="s">
        <v>65</v>
      </c>
      <c r="B24" s="3">
        <v>3312</v>
      </c>
      <c r="C24" s="3">
        <f>368.4+749.9</f>
        <v>1118.3</v>
      </c>
      <c r="D24" s="4">
        <v>1.6</v>
      </c>
      <c r="E24" s="3">
        <f t="shared" si="0"/>
        <v>1789.28</v>
      </c>
      <c r="F24" s="4">
        <f t="shared" si="3"/>
        <v>1.95</v>
      </c>
      <c r="G24" s="3">
        <f t="shared" si="1"/>
        <v>3489.096</v>
      </c>
      <c r="H24" s="67">
        <f t="shared" si="2"/>
        <v>1.0534710144927537</v>
      </c>
      <c r="I24" s="35">
        <v>1.02</v>
      </c>
      <c r="J24" s="36">
        <f t="shared" si="4"/>
        <v>1.0608</v>
      </c>
      <c r="K24" s="5"/>
    </row>
    <row r="25" spans="1:13" ht="12.6" customHeight="1" thickBot="1" x14ac:dyDescent="0.3">
      <c r="A25" s="72" t="s">
        <v>66</v>
      </c>
      <c r="B25" s="3">
        <v>3352.8</v>
      </c>
      <c r="C25" s="3">
        <f>376.9+771.4</f>
        <v>1148.3</v>
      </c>
      <c r="D25" s="4">
        <v>1.6</v>
      </c>
      <c r="E25" s="3">
        <f t="shared" si="0"/>
        <v>1837.28</v>
      </c>
      <c r="F25" s="4">
        <f t="shared" si="3"/>
        <v>1.95</v>
      </c>
      <c r="G25" s="3">
        <f t="shared" si="1"/>
        <v>3582.6959999999999</v>
      </c>
      <c r="H25" s="67">
        <f t="shared" si="2"/>
        <v>1.0685683607730851</v>
      </c>
      <c r="I25" s="35">
        <v>1.03</v>
      </c>
      <c r="J25" s="36">
        <f t="shared" si="4"/>
        <v>1.0711999999999999</v>
      </c>
      <c r="K25" s="5"/>
    </row>
    <row r="26" spans="1:13" ht="12.6" customHeight="1" thickBot="1" x14ac:dyDescent="0.3">
      <c r="A26" s="72" t="s">
        <v>67</v>
      </c>
      <c r="B26" s="3">
        <v>3440.8</v>
      </c>
      <c r="C26" s="3">
        <f>325.7+767.6</f>
        <v>1093.3</v>
      </c>
      <c r="D26" s="4">
        <v>1.6</v>
      </c>
      <c r="E26" s="3">
        <f t="shared" si="0"/>
        <v>1749.28</v>
      </c>
      <c r="F26" s="4">
        <f t="shared" si="3"/>
        <v>1.95</v>
      </c>
      <c r="G26" s="3">
        <f t="shared" si="1"/>
        <v>3411.096</v>
      </c>
      <c r="H26" s="67">
        <f t="shared" si="2"/>
        <v>0.99136712392466864</v>
      </c>
      <c r="I26" s="35">
        <v>0.96</v>
      </c>
      <c r="J26" s="36">
        <f t="shared" si="4"/>
        <v>0.99839999999999995</v>
      </c>
      <c r="K26" s="5"/>
    </row>
    <row r="27" spans="1:13" ht="12.6" customHeight="1" thickBot="1" x14ac:dyDescent="0.3">
      <c r="A27" s="72" t="s">
        <v>68</v>
      </c>
      <c r="B27" s="3">
        <v>3391.8</v>
      </c>
      <c r="C27" s="3">
        <f>390.7+785.1</f>
        <v>1175.8</v>
      </c>
      <c r="D27" s="4">
        <v>1.6</v>
      </c>
      <c r="E27" s="3">
        <f t="shared" si="0"/>
        <v>1881.28</v>
      </c>
      <c r="F27" s="4">
        <f t="shared" si="3"/>
        <v>1.95</v>
      </c>
      <c r="G27" s="3">
        <f t="shared" si="1"/>
        <v>3668.4959999999996</v>
      </c>
      <c r="H27" s="67">
        <f t="shared" si="2"/>
        <v>1.0815779232266052</v>
      </c>
      <c r="I27" s="35">
        <v>1.04</v>
      </c>
      <c r="J27" s="36">
        <f t="shared" si="4"/>
        <v>1.0816000000000001</v>
      </c>
      <c r="K27" s="5"/>
    </row>
    <row r="28" spans="1:13" ht="12.6" customHeight="1" thickBot="1" x14ac:dyDescent="0.3">
      <c r="A28" s="72" t="s">
        <v>69</v>
      </c>
      <c r="B28" s="3">
        <v>3431.8</v>
      </c>
      <c r="C28" s="3">
        <f>309.1+766.7</f>
        <v>1075.8000000000002</v>
      </c>
      <c r="D28" s="4">
        <v>1.6</v>
      </c>
      <c r="E28" s="3">
        <f t="shared" si="0"/>
        <v>1721.2800000000004</v>
      </c>
      <c r="F28" s="4">
        <f t="shared" si="3"/>
        <v>1.95</v>
      </c>
      <c r="G28" s="3">
        <f t="shared" si="1"/>
        <v>3356.4960000000005</v>
      </c>
      <c r="H28" s="67">
        <f t="shared" si="2"/>
        <v>0.97805699632845744</v>
      </c>
      <c r="I28" s="35">
        <v>0.96</v>
      </c>
      <c r="J28" s="36">
        <f t="shared" si="4"/>
        <v>0.99839999999999995</v>
      </c>
      <c r="K28" s="5"/>
    </row>
    <row r="29" spans="1:13" ht="12.6" customHeight="1" thickBot="1" x14ac:dyDescent="0.3">
      <c r="A29" s="72" t="s">
        <v>70</v>
      </c>
      <c r="B29" s="3">
        <v>944.4</v>
      </c>
      <c r="C29" s="3">
        <f>27.8+84.4+215</f>
        <v>327.2</v>
      </c>
      <c r="D29" s="4">
        <v>1.6</v>
      </c>
      <c r="E29" s="3">
        <f t="shared" si="0"/>
        <v>523.52</v>
      </c>
      <c r="F29" s="4">
        <f t="shared" si="3"/>
        <v>1.95</v>
      </c>
      <c r="G29" s="3">
        <f t="shared" si="1"/>
        <v>1020.8639999999999</v>
      </c>
      <c r="H29" s="67">
        <f t="shared" si="2"/>
        <v>1.0809656925031765</v>
      </c>
      <c r="I29" s="35">
        <v>1.04</v>
      </c>
      <c r="J29" s="36">
        <f t="shared" si="4"/>
        <v>1.0816000000000001</v>
      </c>
      <c r="K29" s="5"/>
    </row>
    <row r="30" spans="1:13" ht="12.6" customHeight="1" thickBot="1" x14ac:dyDescent="0.3">
      <c r="A30" s="72" t="s">
        <v>71</v>
      </c>
      <c r="B30" s="3">
        <v>3348.35</v>
      </c>
      <c r="C30" s="3">
        <f>330.4+743.7</f>
        <v>1074.0999999999999</v>
      </c>
      <c r="D30" s="4">
        <v>1.6</v>
      </c>
      <c r="E30" s="3">
        <f t="shared" si="0"/>
        <v>1718.56</v>
      </c>
      <c r="F30" s="4">
        <f t="shared" si="3"/>
        <v>1.95</v>
      </c>
      <c r="G30" s="3">
        <f t="shared" si="1"/>
        <v>3351.192</v>
      </c>
      <c r="H30" s="67">
        <f t="shared" si="2"/>
        <v>1.0008487762629354</v>
      </c>
      <c r="I30" s="35">
        <v>0.96</v>
      </c>
      <c r="J30" s="36">
        <f t="shared" si="4"/>
        <v>0.99839999999999995</v>
      </c>
      <c r="K30" s="5"/>
    </row>
    <row r="31" spans="1:13" ht="12.6" customHeight="1" thickBot="1" x14ac:dyDescent="0.3">
      <c r="A31" s="72" t="s">
        <v>72</v>
      </c>
      <c r="B31" s="3">
        <v>5267.5</v>
      </c>
      <c r="C31" s="3">
        <f>631.7+17.6+343.3+1297.4</f>
        <v>2290</v>
      </c>
      <c r="D31" s="4">
        <v>1.6</v>
      </c>
      <c r="E31" s="3">
        <f t="shared" si="0"/>
        <v>3664</v>
      </c>
      <c r="F31" s="4">
        <f t="shared" si="3"/>
        <v>1.95</v>
      </c>
      <c r="G31" s="3">
        <f t="shared" si="1"/>
        <v>7144.8</v>
      </c>
      <c r="H31" s="67">
        <f t="shared" si="2"/>
        <v>1.3563929757949691</v>
      </c>
      <c r="I31" s="35">
        <v>1.29</v>
      </c>
      <c r="J31" s="36">
        <f t="shared" si="4"/>
        <v>1.3416000000000001</v>
      </c>
      <c r="K31" s="5"/>
    </row>
    <row r="32" spans="1:13" ht="12.6" customHeight="1" thickBot="1" x14ac:dyDescent="0.3">
      <c r="A32" s="72" t="s">
        <v>130</v>
      </c>
      <c r="B32" s="3">
        <v>4337</v>
      </c>
      <c r="C32" s="3">
        <f>5.1+16.1+8.8+457.7+1013.2</f>
        <v>1500.9</v>
      </c>
      <c r="D32" s="4">
        <v>1.6</v>
      </c>
      <c r="E32" s="3">
        <f t="shared" si="0"/>
        <v>2401.44</v>
      </c>
      <c r="F32" s="4">
        <f t="shared" si="3"/>
        <v>1.95</v>
      </c>
      <c r="G32" s="3">
        <f t="shared" si="1"/>
        <v>4682.808</v>
      </c>
      <c r="H32" s="67">
        <f t="shared" si="2"/>
        <v>1.0797343786027207</v>
      </c>
      <c r="I32" s="35">
        <v>1.04</v>
      </c>
      <c r="J32" s="36">
        <f t="shared" si="4"/>
        <v>1.0816000000000001</v>
      </c>
      <c r="K32" s="5"/>
    </row>
    <row r="33" spans="1:11" ht="12.6" customHeight="1" thickBot="1" x14ac:dyDescent="0.3">
      <c r="A33" s="72" t="s">
        <v>73</v>
      </c>
      <c r="B33" s="3">
        <v>3392.2</v>
      </c>
      <c r="C33" s="3">
        <f>356.7+783.2</f>
        <v>1139.9000000000001</v>
      </c>
      <c r="D33" s="4">
        <v>1.6</v>
      </c>
      <c r="E33" s="3">
        <f t="shared" si="0"/>
        <v>1823.8400000000001</v>
      </c>
      <c r="F33" s="4">
        <f t="shared" si="3"/>
        <v>1.95</v>
      </c>
      <c r="G33" s="3">
        <f t="shared" si="1"/>
        <v>3556.4880000000003</v>
      </c>
      <c r="H33" s="67">
        <f t="shared" si="2"/>
        <v>1.0484311066564473</v>
      </c>
      <c r="I33" s="35">
        <v>1.01</v>
      </c>
      <c r="J33" s="36">
        <f t="shared" si="4"/>
        <v>1.0504</v>
      </c>
      <c r="K33" s="5"/>
    </row>
    <row r="34" spans="1:11" ht="12.6" customHeight="1" thickBot="1" x14ac:dyDescent="0.3">
      <c r="A34" s="72" t="s">
        <v>74</v>
      </c>
      <c r="B34" s="3">
        <v>3451.3</v>
      </c>
      <c r="C34" s="3">
        <f>366.7+770.6</f>
        <v>1137.3</v>
      </c>
      <c r="D34" s="4">
        <v>1.6</v>
      </c>
      <c r="E34" s="3">
        <f t="shared" si="0"/>
        <v>1819.68</v>
      </c>
      <c r="F34" s="4">
        <f t="shared" si="3"/>
        <v>1.95</v>
      </c>
      <c r="G34" s="3">
        <f t="shared" si="1"/>
        <v>3548.3760000000002</v>
      </c>
      <c r="H34" s="67">
        <f t="shared" si="2"/>
        <v>1.0281273722944977</v>
      </c>
      <c r="I34" s="35">
        <v>0.9</v>
      </c>
      <c r="J34" s="36">
        <f t="shared" si="4"/>
        <v>0.93600000000000005</v>
      </c>
      <c r="K34" s="5"/>
    </row>
    <row r="35" spans="1:11" ht="12.6" customHeight="1" thickBot="1" x14ac:dyDescent="0.3">
      <c r="A35" s="73" t="s">
        <v>75</v>
      </c>
      <c r="B35" s="68">
        <v>3420.84</v>
      </c>
      <c r="C35" s="68">
        <f>377.8+752.6</f>
        <v>1130.4000000000001</v>
      </c>
      <c r="D35" s="69">
        <v>1.6</v>
      </c>
      <c r="E35" s="68">
        <f t="shared" si="0"/>
        <v>1808.6400000000003</v>
      </c>
      <c r="F35" s="69">
        <f t="shared" si="3"/>
        <v>1.95</v>
      </c>
      <c r="G35" s="68">
        <f t="shared" si="1"/>
        <v>3526.8480000000004</v>
      </c>
      <c r="H35" s="70">
        <f t="shared" si="2"/>
        <v>1.0309888799242293</v>
      </c>
      <c r="I35" s="35">
        <v>0.99</v>
      </c>
      <c r="J35" s="36">
        <f t="shared" si="4"/>
        <v>1.0296000000000001</v>
      </c>
      <c r="K35" s="5"/>
    </row>
    <row r="37" spans="1:11" ht="13.5" thickBot="1" x14ac:dyDescent="0.3">
      <c r="A37" s="66" t="s">
        <v>42</v>
      </c>
      <c r="B37" s="1"/>
      <c r="I37" s="2">
        <v>42.44</v>
      </c>
    </row>
    <row r="38" spans="1:11" ht="64.5" thickBot="1" x14ac:dyDescent="0.3">
      <c r="A38" s="74" t="s">
        <v>2</v>
      </c>
      <c r="B38" s="75" t="s">
        <v>8</v>
      </c>
      <c r="C38" s="75" t="s">
        <v>9</v>
      </c>
      <c r="D38" s="75" t="s">
        <v>10</v>
      </c>
      <c r="E38" s="75" t="s">
        <v>15</v>
      </c>
      <c r="F38" s="75" t="s">
        <v>16</v>
      </c>
      <c r="G38" s="75" t="s">
        <v>13</v>
      </c>
      <c r="H38" s="76" t="s">
        <v>14</v>
      </c>
      <c r="I38" s="39" t="s">
        <v>84</v>
      </c>
    </row>
    <row r="39" spans="1:11" ht="13.5" thickBot="1" x14ac:dyDescent="0.3">
      <c r="A39" s="72" t="s">
        <v>46</v>
      </c>
      <c r="B39" s="3">
        <v>5591.1</v>
      </c>
      <c r="C39" s="3">
        <v>622</v>
      </c>
      <c r="D39" s="33">
        <v>3.5999999999999997E-2</v>
      </c>
      <c r="E39" s="3">
        <f>C39*D39</f>
        <v>22.391999999999999</v>
      </c>
      <c r="F39" s="4">
        <f t="shared" ref="F39:F69" si="5">$I$37</f>
        <v>42.44</v>
      </c>
      <c r="G39" s="3">
        <f>E39*F39</f>
        <v>950.31647999999996</v>
      </c>
      <c r="H39" s="67">
        <f t="shared" ref="H39:H69" si="6">G39/B39</f>
        <v>0.16996950152921605</v>
      </c>
      <c r="I39" s="38">
        <v>0.31</v>
      </c>
    </row>
    <row r="40" spans="1:11" ht="13.5" thickBot="1" x14ac:dyDescent="0.3">
      <c r="A40" s="72" t="s">
        <v>47</v>
      </c>
      <c r="B40" s="3">
        <v>3358.9</v>
      </c>
      <c r="C40" s="3">
        <v>328.7</v>
      </c>
      <c r="D40" s="33">
        <v>3.5999999999999997E-2</v>
      </c>
      <c r="E40" s="3">
        <f t="shared" ref="E40:E69" si="7">C40*D40</f>
        <v>11.833199999999998</v>
      </c>
      <c r="F40" s="4">
        <f t="shared" si="5"/>
        <v>42.44</v>
      </c>
      <c r="G40" s="3">
        <f t="shared" ref="G40:G69" si="8">E40*F40</f>
        <v>502.20100799999989</v>
      </c>
      <c r="H40" s="67">
        <f t="shared" si="6"/>
        <v>0.1495135335973086</v>
      </c>
      <c r="I40" s="38">
        <v>0.28000000000000003</v>
      </c>
    </row>
    <row r="41" spans="1:11" ht="13.5" thickBot="1" x14ac:dyDescent="0.3">
      <c r="A41" s="72" t="s">
        <v>48</v>
      </c>
      <c r="B41" s="3">
        <v>5560.3</v>
      </c>
      <c r="C41" s="3">
        <v>686.3</v>
      </c>
      <c r="D41" s="33">
        <v>3.5999999999999997E-2</v>
      </c>
      <c r="E41" s="3">
        <f t="shared" si="7"/>
        <v>24.706799999999998</v>
      </c>
      <c r="F41" s="4">
        <f t="shared" si="5"/>
        <v>42.44</v>
      </c>
      <c r="G41" s="3">
        <f t="shared" si="8"/>
        <v>1048.5565919999999</v>
      </c>
      <c r="H41" s="67">
        <f t="shared" si="6"/>
        <v>0.1885791399744618</v>
      </c>
      <c r="I41" s="38">
        <v>0.35</v>
      </c>
    </row>
    <row r="42" spans="1:11" ht="13.5" thickBot="1" x14ac:dyDescent="0.3">
      <c r="A42" s="72" t="s">
        <v>49</v>
      </c>
      <c r="B42" s="3">
        <v>6351.1</v>
      </c>
      <c r="C42" s="3">
        <v>263.60000000000002</v>
      </c>
      <c r="D42" s="33">
        <v>1.4E-2</v>
      </c>
      <c r="E42" s="3">
        <f t="shared" si="7"/>
        <v>3.6904000000000003</v>
      </c>
      <c r="F42" s="4">
        <f t="shared" si="5"/>
        <v>42.44</v>
      </c>
      <c r="G42" s="3">
        <f t="shared" si="8"/>
        <v>156.620576</v>
      </c>
      <c r="H42" s="67">
        <f t="shared" si="6"/>
        <v>2.4660385759947095E-2</v>
      </c>
      <c r="I42" s="38">
        <v>0.12</v>
      </c>
    </row>
    <row r="43" spans="1:11" ht="13.5" thickBot="1" x14ac:dyDescent="0.3">
      <c r="A43" s="72" t="s">
        <v>50</v>
      </c>
      <c r="B43" s="3">
        <v>6297.3</v>
      </c>
      <c r="C43" s="3">
        <v>267.5</v>
      </c>
      <c r="D43" s="33">
        <v>1.4E-2</v>
      </c>
      <c r="E43" s="3">
        <f t="shared" si="7"/>
        <v>3.7450000000000001</v>
      </c>
      <c r="F43" s="4">
        <f t="shared" si="5"/>
        <v>42.44</v>
      </c>
      <c r="G43" s="3">
        <f t="shared" si="8"/>
        <v>158.93780000000001</v>
      </c>
      <c r="H43" s="67">
        <f t="shared" si="6"/>
        <v>2.5239038953202168E-2</v>
      </c>
      <c r="I43" s="38">
        <v>0.1</v>
      </c>
    </row>
    <row r="44" spans="1:11" ht="13.5" thickBot="1" x14ac:dyDescent="0.3">
      <c r="A44" s="72" t="s">
        <v>51</v>
      </c>
      <c r="B44" s="3">
        <v>4614.5</v>
      </c>
      <c r="C44" s="3">
        <v>532</v>
      </c>
      <c r="D44" s="33">
        <v>3.5999999999999997E-2</v>
      </c>
      <c r="E44" s="3">
        <f t="shared" si="7"/>
        <v>19.151999999999997</v>
      </c>
      <c r="F44" s="4">
        <f t="shared" si="5"/>
        <v>42.44</v>
      </c>
      <c r="G44" s="3">
        <f t="shared" si="8"/>
        <v>812.81087999999988</v>
      </c>
      <c r="H44" s="67">
        <f t="shared" si="6"/>
        <v>0.17614278470040087</v>
      </c>
      <c r="I44" s="38">
        <v>0.33</v>
      </c>
    </row>
    <row r="45" spans="1:11" ht="13.5" thickBot="1" x14ac:dyDescent="0.3">
      <c r="A45" s="72" t="s">
        <v>52</v>
      </c>
      <c r="B45" s="3">
        <v>4606.5</v>
      </c>
      <c r="C45" s="3">
        <f>16.7+511.3</f>
        <v>528</v>
      </c>
      <c r="D45" s="33">
        <v>3.5999999999999997E-2</v>
      </c>
      <c r="E45" s="3">
        <f t="shared" si="7"/>
        <v>19.007999999999999</v>
      </c>
      <c r="F45" s="4">
        <f t="shared" si="5"/>
        <v>42.44</v>
      </c>
      <c r="G45" s="3">
        <f t="shared" si="8"/>
        <v>806.69951999999989</v>
      </c>
      <c r="H45" s="67">
        <f t="shared" si="6"/>
        <v>0.17512200586128296</v>
      </c>
      <c r="I45" s="38">
        <v>0.33</v>
      </c>
    </row>
    <row r="46" spans="1:11" ht="13.5" thickBot="1" x14ac:dyDescent="0.3">
      <c r="A46" s="72" t="s">
        <v>53</v>
      </c>
      <c r="B46" s="3">
        <v>4647.8999999999996</v>
      </c>
      <c r="C46" s="3">
        <v>544.9</v>
      </c>
      <c r="D46" s="33">
        <v>3.5999999999999997E-2</v>
      </c>
      <c r="E46" s="3">
        <f t="shared" si="7"/>
        <v>19.616399999999999</v>
      </c>
      <c r="F46" s="4">
        <f t="shared" si="5"/>
        <v>42.44</v>
      </c>
      <c r="G46" s="3">
        <f t="shared" si="8"/>
        <v>832.52001599999994</v>
      </c>
      <c r="H46" s="67">
        <f t="shared" si="6"/>
        <v>0.17911745433421544</v>
      </c>
      <c r="I46" s="38">
        <v>0.33</v>
      </c>
    </row>
    <row r="47" spans="1:11" ht="13.5" thickBot="1" x14ac:dyDescent="0.3">
      <c r="A47" s="72" t="s">
        <v>54</v>
      </c>
      <c r="B47" s="3">
        <v>3474</v>
      </c>
      <c r="C47" s="3">
        <v>468.2</v>
      </c>
      <c r="D47" s="33">
        <v>3.5999999999999997E-2</v>
      </c>
      <c r="E47" s="3">
        <f t="shared" si="7"/>
        <v>16.8552</v>
      </c>
      <c r="F47" s="4">
        <f t="shared" si="5"/>
        <v>42.44</v>
      </c>
      <c r="G47" s="3">
        <f t="shared" si="8"/>
        <v>715.33468799999991</v>
      </c>
      <c r="H47" s="67">
        <f t="shared" si="6"/>
        <v>0.20591096373056991</v>
      </c>
      <c r="I47" s="38">
        <v>0.32</v>
      </c>
    </row>
    <row r="48" spans="1:11" ht="13.5" thickBot="1" x14ac:dyDescent="0.3">
      <c r="A48" s="72" t="s">
        <v>55</v>
      </c>
      <c r="B48" s="3">
        <v>5501.92</v>
      </c>
      <c r="C48" s="3">
        <v>702.1</v>
      </c>
      <c r="D48" s="33">
        <v>3.5999999999999997E-2</v>
      </c>
      <c r="E48" s="3">
        <f t="shared" si="7"/>
        <v>25.275599999999997</v>
      </c>
      <c r="F48" s="4">
        <f t="shared" si="5"/>
        <v>42.44</v>
      </c>
      <c r="G48" s="3">
        <f t="shared" si="8"/>
        <v>1072.6964639999999</v>
      </c>
      <c r="H48" s="67">
        <f t="shared" si="6"/>
        <v>0.19496765928984788</v>
      </c>
      <c r="I48" s="38">
        <v>0.31</v>
      </c>
    </row>
    <row r="49" spans="1:9" ht="13.5" thickBot="1" x14ac:dyDescent="0.3">
      <c r="A49" s="72" t="s">
        <v>56</v>
      </c>
      <c r="B49" s="3">
        <v>5501.9</v>
      </c>
      <c r="C49" s="3">
        <v>731.2</v>
      </c>
      <c r="D49" s="33">
        <v>3.5999999999999997E-2</v>
      </c>
      <c r="E49" s="3">
        <f t="shared" si="7"/>
        <v>26.3232</v>
      </c>
      <c r="F49" s="4">
        <f t="shared" si="5"/>
        <v>42.44</v>
      </c>
      <c r="G49" s="3">
        <f t="shared" si="8"/>
        <v>1117.156608</v>
      </c>
      <c r="H49" s="67">
        <f t="shared" si="6"/>
        <v>0.20304923899016705</v>
      </c>
      <c r="I49" s="38">
        <v>0.32</v>
      </c>
    </row>
    <row r="50" spans="1:9" ht="13.5" thickBot="1" x14ac:dyDescent="0.3">
      <c r="A50" s="72" t="s">
        <v>57</v>
      </c>
      <c r="B50" s="3">
        <v>894.9</v>
      </c>
      <c r="C50" s="3">
        <f>37.3+88.9</f>
        <v>126.2</v>
      </c>
      <c r="D50" s="33">
        <v>3.5999999999999997E-2</v>
      </c>
      <c r="E50" s="3">
        <f t="shared" si="7"/>
        <v>4.5431999999999997</v>
      </c>
      <c r="F50" s="4">
        <f t="shared" si="5"/>
        <v>42.44</v>
      </c>
      <c r="G50" s="3">
        <f t="shared" si="8"/>
        <v>192.81340799999998</v>
      </c>
      <c r="H50" s="67">
        <f t="shared" si="6"/>
        <v>0.21545804894401607</v>
      </c>
      <c r="I50" s="38">
        <v>0.36</v>
      </c>
    </row>
    <row r="51" spans="1:9" ht="13.5" thickBot="1" x14ac:dyDescent="0.3">
      <c r="A51" s="72" t="s">
        <v>58</v>
      </c>
      <c r="B51" s="3">
        <v>3437.3</v>
      </c>
      <c r="C51" s="3">
        <f>5.2+5.2+360.6</f>
        <v>371</v>
      </c>
      <c r="D51" s="33">
        <v>3.5999999999999997E-2</v>
      </c>
      <c r="E51" s="3">
        <f t="shared" si="7"/>
        <v>13.356</v>
      </c>
      <c r="F51" s="4">
        <f t="shared" si="5"/>
        <v>42.44</v>
      </c>
      <c r="G51" s="3">
        <f t="shared" si="8"/>
        <v>566.82863999999995</v>
      </c>
      <c r="H51" s="67">
        <f t="shared" si="6"/>
        <v>0.16490519884793295</v>
      </c>
      <c r="I51" s="38">
        <v>0.31</v>
      </c>
    </row>
    <row r="52" spans="1:9" ht="13.5" thickBot="1" x14ac:dyDescent="0.3">
      <c r="A52" s="72" t="s">
        <v>59</v>
      </c>
      <c r="B52" s="3">
        <v>3349.9</v>
      </c>
      <c r="C52" s="3">
        <f>17+328.6</f>
        <v>345.6</v>
      </c>
      <c r="D52" s="33">
        <v>3.5999999999999997E-2</v>
      </c>
      <c r="E52" s="3">
        <f t="shared" si="7"/>
        <v>12.441599999999999</v>
      </c>
      <c r="F52" s="4">
        <f t="shared" si="5"/>
        <v>42.44</v>
      </c>
      <c r="G52" s="3">
        <f t="shared" si="8"/>
        <v>528.02150399999994</v>
      </c>
      <c r="H52" s="67">
        <f t="shared" si="6"/>
        <v>0.15762306456909159</v>
      </c>
      <c r="I52" s="38">
        <v>0.28999999999999998</v>
      </c>
    </row>
    <row r="53" spans="1:9" ht="13.5" thickBot="1" x14ac:dyDescent="0.3">
      <c r="A53" s="72" t="s">
        <v>60</v>
      </c>
      <c r="B53" s="3">
        <v>3411</v>
      </c>
      <c r="C53" s="3">
        <v>360.6</v>
      </c>
      <c r="D53" s="33">
        <v>3.5999999999999997E-2</v>
      </c>
      <c r="E53" s="3">
        <f t="shared" si="7"/>
        <v>12.9816</v>
      </c>
      <c r="F53" s="4">
        <f t="shared" si="5"/>
        <v>42.44</v>
      </c>
      <c r="G53" s="3">
        <f t="shared" si="8"/>
        <v>550.93910399999993</v>
      </c>
      <c r="H53" s="67">
        <f t="shared" si="6"/>
        <v>0.16151835356200525</v>
      </c>
      <c r="I53" s="38">
        <v>0.3</v>
      </c>
    </row>
    <row r="54" spans="1:9" ht="13.5" thickBot="1" x14ac:dyDescent="0.3">
      <c r="A54" s="72" t="s">
        <v>61</v>
      </c>
      <c r="B54" s="3">
        <v>3275</v>
      </c>
      <c r="C54" s="3">
        <v>369.8</v>
      </c>
      <c r="D54" s="33">
        <v>3.5999999999999997E-2</v>
      </c>
      <c r="E54" s="3">
        <f t="shared" si="7"/>
        <v>13.312799999999999</v>
      </c>
      <c r="F54" s="4">
        <f t="shared" si="5"/>
        <v>42.44</v>
      </c>
      <c r="G54" s="3">
        <f t="shared" si="8"/>
        <v>564.99523199999999</v>
      </c>
      <c r="H54" s="67">
        <f t="shared" si="6"/>
        <v>0.17251762809160304</v>
      </c>
      <c r="I54" s="38">
        <v>0.32</v>
      </c>
    </row>
    <row r="55" spans="1:9" ht="13.5" thickBot="1" x14ac:dyDescent="0.3">
      <c r="A55" s="72" t="s">
        <v>62</v>
      </c>
      <c r="B55" s="3">
        <v>4650.5</v>
      </c>
      <c r="C55" s="3">
        <v>563.70000000000005</v>
      </c>
      <c r="D55" s="33">
        <v>3.5999999999999997E-2</v>
      </c>
      <c r="E55" s="3">
        <f t="shared" si="7"/>
        <v>20.293199999999999</v>
      </c>
      <c r="F55" s="4">
        <f t="shared" si="5"/>
        <v>42.44</v>
      </c>
      <c r="G55" s="3">
        <f t="shared" si="8"/>
        <v>861.24340799999993</v>
      </c>
      <c r="H55" s="67">
        <f t="shared" si="6"/>
        <v>0.18519372282550262</v>
      </c>
      <c r="I55" s="38">
        <v>0.35</v>
      </c>
    </row>
    <row r="56" spans="1:9" ht="13.5" thickBot="1" x14ac:dyDescent="0.3">
      <c r="A56" s="72" t="s">
        <v>63</v>
      </c>
      <c r="B56" s="3">
        <v>3257</v>
      </c>
      <c r="C56" s="3">
        <v>379.7</v>
      </c>
      <c r="D56" s="33">
        <v>3.5999999999999997E-2</v>
      </c>
      <c r="E56" s="3">
        <f t="shared" si="7"/>
        <v>13.669199999999998</v>
      </c>
      <c r="F56" s="4">
        <f t="shared" si="5"/>
        <v>42.44</v>
      </c>
      <c r="G56" s="3">
        <f t="shared" si="8"/>
        <v>580.12084799999991</v>
      </c>
      <c r="H56" s="67">
        <f t="shared" si="6"/>
        <v>0.17811508996008593</v>
      </c>
      <c r="I56" s="38">
        <v>0.33</v>
      </c>
    </row>
    <row r="57" spans="1:9" ht="13.5" thickBot="1" x14ac:dyDescent="0.3">
      <c r="A57" s="72" t="s">
        <v>64</v>
      </c>
      <c r="B57" s="3">
        <v>4619.5</v>
      </c>
      <c r="C57" s="3">
        <v>565</v>
      </c>
      <c r="D57" s="33">
        <v>3.5999999999999997E-2</v>
      </c>
      <c r="E57" s="3">
        <f t="shared" si="7"/>
        <v>20.34</v>
      </c>
      <c r="F57" s="4">
        <f t="shared" si="5"/>
        <v>42.44</v>
      </c>
      <c r="G57" s="3">
        <f t="shared" si="8"/>
        <v>863.22959999999989</v>
      </c>
      <c r="H57" s="67">
        <f t="shared" si="6"/>
        <v>0.18686645740881044</v>
      </c>
      <c r="I57" s="38">
        <v>0.35</v>
      </c>
    </row>
    <row r="58" spans="1:9" ht="13.5" thickBot="1" x14ac:dyDescent="0.3">
      <c r="A58" s="72" t="s">
        <v>65</v>
      </c>
      <c r="B58" s="3">
        <v>3312</v>
      </c>
      <c r="C58" s="3">
        <v>368.4</v>
      </c>
      <c r="D58" s="33">
        <v>3.5999999999999997E-2</v>
      </c>
      <c r="E58" s="3">
        <f t="shared" si="7"/>
        <v>13.262399999999998</v>
      </c>
      <c r="F58" s="4">
        <f t="shared" si="5"/>
        <v>42.44</v>
      </c>
      <c r="G58" s="3">
        <f t="shared" si="8"/>
        <v>562.85625599999992</v>
      </c>
      <c r="H58" s="67">
        <f t="shared" si="6"/>
        <v>0.16994452173913041</v>
      </c>
      <c r="I58" s="38">
        <v>0.32</v>
      </c>
    </row>
    <row r="59" spans="1:9" ht="13.5" thickBot="1" x14ac:dyDescent="0.3">
      <c r="A59" s="72" t="s">
        <v>66</v>
      </c>
      <c r="B59" s="3">
        <v>3352.8</v>
      </c>
      <c r="C59" s="3">
        <v>376.9</v>
      </c>
      <c r="D59" s="33">
        <v>3.5999999999999997E-2</v>
      </c>
      <c r="E59" s="3">
        <f t="shared" si="7"/>
        <v>13.568399999999999</v>
      </c>
      <c r="F59" s="4">
        <f t="shared" si="5"/>
        <v>42.44</v>
      </c>
      <c r="G59" s="3">
        <f t="shared" si="8"/>
        <v>575.84289599999988</v>
      </c>
      <c r="H59" s="67">
        <f t="shared" si="6"/>
        <v>0.17174984967788112</v>
      </c>
      <c r="I59" s="38">
        <v>0.32</v>
      </c>
    </row>
    <row r="60" spans="1:9" ht="13.5" thickBot="1" x14ac:dyDescent="0.3">
      <c r="A60" s="72" t="s">
        <v>67</v>
      </c>
      <c r="B60" s="3">
        <v>3440.8</v>
      </c>
      <c r="C60" s="3">
        <v>325.7</v>
      </c>
      <c r="D60" s="33">
        <v>3.5999999999999997E-2</v>
      </c>
      <c r="E60" s="3">
        <f t="shared" si="7"/>
        <v>11.725199999999999</v>
      </c>
      <c r="F60" s="4">
        <f t="shared" si="5"/>
        <v>42.44</v>
      </c>
      <c r="G60" s="3">
        <f t="shared" si="8"/>
        <v>497.61748799999992</v>
      </c>
      <c r="H60" s="67">
        <f t="shared" si="6"/>
        <v>0.14462261334573351</v>
      </c>
      <c r="I60" s="38">
        <v>0.27</v>
      </c>
    </row>
    <row r="61" spans="1:9" ht="13.5" thickBot="1" x14ac:dyDescent="0.3">
      <c r="A61" s="72" t="s">
        <v>68</v>
      </c>
      <c r="B61" s="3">
        <v>3391.8</v>
      </c>
      <c r="C61" s="3">
        <v>390.7</v>
      </c>
      <c r="D61" s="33">
        <v>3.5999999999999997E-2</v>
      </c>
      <c r="E61" s="3">
        <f t="shared" si="7"/>
        <v>14.065199999999999</v>
      </c>
      <c r="F61" s="4">
        <f t="shared" si="5"/>
        <v>42.44</v>
      </c>
      <c r="G61" s="3">
        <f t="shared" si="8"/>
        <v>596.92708799999991</v>
      </c>
      <c r="H61" s="67">
        <f t="shared" si="6"/>
        <v>0.17599124004953118</v>
      </c>
      <c r="I61" s="38">
        <v>0.33</v>
      </c>
    </row>
    <row r="62" spans="1:9" ht="13.5" thickBot="1" x14ac:dyDescent="0.3">
      <c r="A62" s="72" t="s">
        <v>69</v>
      </c>
      <c r="B62" s="3">
        <v>3431.8</v>
      </c>
      <c r="C62" s="3">
        <f>23.2+309.1</f>
        <v>332.3</v>
      </c>
      <c r="D62" s="33">
        <v>3.5999999999999997E-2</v>
      </c>
      <c r="E62" s="3">
        <f t="shared" si="7"/>
        <v>11.9628</v>
      </c>
      <c r="F62" s="4">
        <f t="shared" si="5"/>
        <v>42.44</v>
      </c>
      <c r="G62" s="3">
        <f t="shared" si="8"/>
        <v>507.70123199999995</v>
      </c>
      <c r="H62" s="67">
        <f t="shared" si="6"/>
        <v>0.14794021563028145</v>
      </c>
      <c r="I62" s="38">
        <v>0.28000000000000003</v>
      </c>
    </row>
    <row r="63" spans="1:9" ht="13.5" thickBot="1" x14ac:dyDescent="0.3">
      <c r="A63" s="72" t="s">
        <v>70</v>
      </c>
      <c r="B63" s="3">
        <v>944.4</v>
      </c>
      <c r="C63" s="3">
        <f>27.8+84.4</f>
        <v>112.2</v>
      </c>
      <c r="D63" s="33">
        <v>3.5999999999999997E-2</v>
      </c>
      <c r="E63" s="3">
        <f t="shared" si="7"/>
        <v>4.0392000000000001</v>
      </c>
      <c r="F63" s="4">
        <f t="shared" si="5"/>
        <v>42.44</v>
      </c>
      <c r="G63" s="3">
        <f t="shared" si="8"/>
        <v>171.42364799999999</v>
      </c>
      <c r="H63" s="67">
        <f t="shared" si="6"/>
        <v>0.18151593392630241</v>
      </c>
      <c r="I63" s="38">
        <v>0.34</v>
      </c>
    </row>
    <row r="64" spans="1:9" ht="13.5" thickBot="1" x14ac:dyDescent="0.3">
      <c r="A64" s="72" t="s">
        <v>71</v>
      </c>
      <c r="B64" s="3">
        <v>3348.35</v>
      </c>
      <c r="C64" s="3">
        <v>330.4</v>
      </c>
      <c r="D64" s="33">
        <v>3.2000000000000001E-2</v>
      </c>
      <c r="E64" s="3">
        <f t="shared" si="7"/>
        <v>10.572799999999999</v>
      </c>
      <c r="F64" s="4">
        <f t="shared" si="5"/>
        <v>42.44</v>
      </c>
      <c r="G64" s="3">
        <f t="shared" si="8"/>
        <v>448.70963199999994</v>
      </c>
      <c r="H64" s="67">
        <f t="shared" si="6"/>
        <v>0.13400917825197484</v>
      </c>
      <c r="I64" s="38">
        <v>0.13</v>
      </c>
    </row>
    <row r="65" spans="1:9" ht="13.5" thickBot="1" x14ac:dyDescent="0.3">
      <c r="A65" s="72" t="s">
        <v>72</v>
      </c>
      <c r="B65" s="3">
        <v>5267.5</v>
      </c>
      <c r="C65" s="3">
        <f>631.7+17.6+343.3</f>
        <v>992.60000000000014</v>
      </c>
      <c r="D65" s="33">
        <v>3.2000000000000001E-2</v>
      </c>
      <c r="E65" s="3">
        <f t="shared" si="7"/>
        <v>31.763200000000005</v>
      </c>
      <c r="F65" s="4">
        <f t="shared" si="5"/>
        <v>42.44</v>
      </c>
      <c r="G65" s="3">
        <f t="shared" si="8"/>
        <v>1348.0302080000001</v>
      </c>
      <c r="H65" s="67">
        <f t="shared" si="6"/>
        <v>0.25591460996677745</v>
      </c>
      <c r="I65" s="38">
        <v>0.23</v>
      </c>
    </row>
    <row r="66" spans="1:9" ht="13.5" thickBot="1" x14ac:dyDescent="0.3">
      <c r="A66" s="72" t="s">
        <v>130</v>
      </c>
      <c r="B66" s="3">
        <v>4337</v>
      </c>
      <c r="C66" s="3">
        <f>5.1+6.1+8.8+457.7</f>
        <v>477.7</v>
      </c>
      <c r="D66" s="33">
        <v>3.5999999999999997E-2</v>
      </c>
      <c r="E66" s="3">
        <f t="shared" si="7"/>
        <v>17.197199999999999</v>
      </c>
      <c r="F66" s="4">
        <f t="shared" si="5"/>
        <v>42.44</v>
      </c>
      <c r="G66" s="3">
        <f t="shared" si="8"/>
        <v>729.84916799999985</v>
      </c>
      <c r="H66" s="67">
        <f t="shared" si="6"/>
        <v>0.16828433663822914</v>
      </c>
      <c r="I66" s="38">
        <v>0.32</v>
      </c>
    </row>
    <row r="67" spans="1:9" ht="13.5" thickBot="1" x14ac:dyDescent="0.3">
      <c r="A67" s="72" t="s">
        <v>73</v>
      </c>
      <c r="B67" s="3">
        <v>3392.2</v>
      </c>
      <c r="C67" s="3">
        <v>356.7</v>
      </c>
      <c r="D67" s="33">
        <v>3.5999999999999997E-2</v>
      </c>
      <c r="E67" s="3">
        <f t="shared" si="7"/>
        <v>12.841199999999999</v>
      </c>
      <c r="F67" s="4">
        <f t="shared" si="5"/>
        <v>42.44</v>
      </c>
      <c r="G67" s="3">
        <f t="shared" si="8"/>
        <v>544.98052799999994</v>
      </c>
      <c r="H67" s="67">
        <f t="shared" si="6"/>
        <v>0.16065695654737339</v>
      </c>
      <c r="I67" s="38">
        <v>0.3</v>
      </c>
    </row>
    <row r="68" spans="1:9" ht="13.5" thickBot="1" x14ac:dyDescent="0.3">
      <c r="A68" s="72" t="s">
        <v>74</v>
      </c>
      <c r="B68" s="3">
        <v>3451.3</v>
      </c>
      <c r="C68" s="3">
        <v>366.7</v>
      </c>
      <c r="D68" s="33">
        <v>3.5999999999999997E-2</v>
      </c>
      <c r="E68" s="3">
        <f t="shared" si="7"/>
        <v>13.201199999999998</v>
      </c>
      <c r="F68" s="4">
        <f t="shared" si="5"/>
        <v>42.44</v>
      </c>
      <c r="G68" s="3">
        <f t="shared" si="8"/>
        <v>560.25892799999986</v>
      </c>
      <c r="H68" s="67">
        <f t="shared" si="6"/>
        <v>0.16233272332164686</v>
      </c>
      <c r="I68" s="38">
        <v>0.3</v>
      </c>
    </row>
    <row r="69" spans="1:9" ht="13.5" thickBot="1" x14ac:dyDescent="0.3">
      <c r="A69" s="73" t="s">
        <v>75</v>
      </c>
      <c r="B69" s="68">
        <v>3420.84</v>
      </c>
      <c r="C69" s="68">
        <v>377.8</v>
      </c>
      <c r="D69" s="71">
        <v>3.5999999999999997E-2</v>
      </c>
      <c r="E69" s="68">
        <f t="shared" si="7"/>
        <v>13.6008</v>
      </c>
      <c r="F69" s="69">
        <f t="shared" si="5"/>
        <v>42.44</v>
      </c>
      <c r="G69" s="68">
        <f t="shared" si="8"/>
        <v>577.21795199999997</v>
      </c>
      <c r="H69" s="70">
        <f t="shared" si="6"/>
        <v>0.16873573508261128</v>
      </c>
      <c r="I69" s="38">
        <v>0.31</v>
      </c>
    </row>
    <row r="70" spans="1:9" s="83" customFormat="1" x14ac:dyDescent="0.25">
      <c r="A70" s="78"/>
      <c r="B70" s="79"/>
      <c r="C70" s="79"/>
      <c r="D70" s="80"/>
      <c r="E70" s="79"/>
      <c r="F70" s="79"/>
      <c r="G70" s="79"/>
      <c r="H70" s="81"/>
      <c r="I70" s="82"/>
    </row>
    <row r="71" spans="1:9" s="83" customFormat="1" x14ac:dyDescent="0.25">
      <c r="A71" s="78"/>
      <c r="B71" s="79"/>
      <c r="C71" s="79"/>
      <c r="D71" s="80"/>
      <c r="E71" s="79"/>
      <c r="F71" s="2"/>
      <c r="G71" s="2"/>
      <c r="H71" s="77" t="s">
        <v>133</v>
      </c>
      <c r="I71" s="82"/>
    </row>
    <row r="72" spans="1:9" s="83" customFormat="1" x14ac:dyDescent="0.25">
      <c r="F72" s="112" t="s">
        <v>134</v>
      </c>
      <c r="G72" s="112"/>
      <c r="H72" s="112"/>
    </row>
    <row r="73" spans="1:9" ht="13.5" thickBot="1" x14ac:dyDescent="0.3">
      <c r="A73" s="66" t="s">
        <v>132</v>
      </c>
      <c r="B73" s="1"/>
    </row>
    <row r="74" spans="1:9" ht="64.5" thickBot="1" x14ac:dyDescent="0.3">
      <c r="A74" s="74" t="s">
        <v>2</v>
      </c>
      <c r="B74" s="75" t="s">
        <v>8</v>
      </c>
      <c r="C74" s="75" t="s">
        <v>9</v>
      </c>
      <c r="D74" s="75" t="s">
        <v>10</v>
      </c>
      <c r="E74" s="75" t="s">
        <v>15</v>
      </c>
      <c r="F74" s="75" t="s">
        <v>16</v>
      </c>
      <c r="G74" s="75" t="s">
        <v>13</v>
      </c>
      <c r="H74" s="76" t="s">
        <v>14</v>
      </c>
      <c r="I74" s="39" t="s">
        <v>83</v>
      </c>
    </row>
    <row r="75" spans="1:9" ht="13.5" thickBot="1" x14ac:dyDescent="0.3">
      <c r="A75" s="72" t="s">
        <v>46</v>
      </c>
      <c r="B75" s="3">
        <v>5591.1</v>
      </c>
      <c r="C75" s="3">
        <v>622</v>
      </c>
      <c r="D75" s="33">
        <v>3.5999999999999997E-2</v>
      </c>
      <c r="E75" s="3">
        <f>C75*D75</f>
        <v>22.391999999999999</v>
      </c>
      <c r="F75" s="4">
        <v>141.19999999999999</v>
      </c>
      <c r="G75" s="3">
        <f>E75*F75</f>
        <v>3161.7503999999994</v>
      </c>
      <c r="H75" s="67">
        <f t="shared" ref="H75:H105" si="9">G75/B75</f>
        <v>0.56549702205290542</v>
      </c>
      <c r="I75" s="40">
        <v>0</v>
      </c>
    </row>
    <row r="76" spans="1:9" ht="13.5" thickBot="1" x14ac:dyDescent="0.3">
      <c r="A76" s="72" t="s">
        <v>47</v>
      </c>
      <c r="B76" s="3">
        <v>3358.9</v>
      </c>
      <c r="C76" s="3">
        <v>328.7</v>
      </c>
      <c r="D76" s="33">
        <v>3.5999999999999997E-2</v>
      </c>
      <c r="E76" s="3">
        <f t="shared" ref="E76:E105" si="10">C76*D76</f>
        <v>11.833199999999998</v>
      </c>
      <c r="F76" s="4">
        <v>141.19999999999999</v>
      </c>
      <c r="G76" s="3">
        <f t="shared" ref="G76:G105" si="11">E76*F76</f>
        <v>1670.8478399999997</v>
      </c>
      <c r="H76" s="67">
        <f t="shared" si="9"/>
        <v>0.49743899490904747</v>
      </c>
      <c r="I76" s="40">
        <v>0</v>
      </c>
    </row>
    <row r="77" spans="1:9" ht="13.5" thickBot="1" x14ac:dyDescent="0.3">
      <c r="A77" s="72" t="s">
        <v>48</v>
      </c>
      <c r="B77" s="3">
        <v>5560.3</v>
      </c>
      <c r="C77" s="3">
        <v>686.3</v>
      </c>
      <c r="D77" s="33">
        <v>3.5999999999999997E-2</v>
      </c>
      <c r="E77" s="3">
        <f t="shared" si="10"/>
        <v>24.706799999999998</v>
      </c>
      <c r="F77" s="4">
        <v>141.19999999999999</v>
      </c>
      <c r="G77" s="3">
        <f t="shared" si="11"/>
        <v>3488.6001599999995</v>
      </c>
      <c r="H77" s="67">
        <f t="shared" si="9"/>
        <v>0.62741221876517439</v>
      </c>
      <c r="I77" s="40">
        <v>0</v>
      </c>
    </row>
    <row r="78" spans="1:9" ht="13.5" thickBot="1" x14ac:dyDescent="0.3">
      <c r="A78" s="72" t="s">
        <v>49</v>
      </c>
      <c r="B78" s="3">
        <v>6351.1</v>
      </c>
      <c r="C78" s="3">
        <v>263.60000000000002</v>
      </c>
      <c r="D78" s="33">
        <v>1.4E-2</v>
      </c>
      <c r="E78" s="3">
        <f t="shared" si="10"/>
        <v>3.6904000000000003</v>
      </c>
      <c r="F78" s="4">
        <v>141.19999999999999</v>
      </c>
      <c r="G78" s="3">
        <f t="shared" si="11"/>
        <v>521.08447999999999</v>
      </c>
      <c r="H78" s="67">
        <f t="shared" si="9"/>
        <v>8.2046335280502578E-2</v>
      </c>
      <c r="I78" s="40">
        <v>0</v>
      </c>
    </row>
    <row r="79" spans="1:9" ht="13.5" thickBot="1" x14ac:dyDescent="0.3">
      <c r="A79" s="72" t="s">
        <v>50</v>
      </c>
      <c r="B79" s="3">
        <v>6297.3</v>
      </c>
      <c r="C79" s="3">
        <v>267.5</v>
      </c>
      <c r="D79" s="33">
        <v>1.4E-2</v>
      </c>
      <c r="E79" s="3">
        <f t="shared" si="10"/>
        <v>3.7450000000000001</v>
      </c>
      <c r="F79" s="4">
        <v>141.19999999999999</v>
      </c>
      <c r="G79" s="3">
        <f t="shared" si="11"/>
        <v>528.79399999999998</v>
      </c>
      <c r="H79" s="67">
        <f t="shared" si="9"/>
        <v>8.397154335985263E-2</v>
      </c>
      <c r="I79" s="40">
        <v>0</v>
      </c>
    </row>
    <row r="80" spans="1:9" ht="13.5" thickBot="1" x14ac:dyDescent="0.3">
      <c r="A80" s="72" t="s">
        <v>51</v>
      </c>
      <c r="B80" s="3">
        <v>4614.5</v>
      </c>
      <c r="C80" s="3">
        <v>532</v>
      </c>
      <c r="D80" s="33">
        <v>3.5999999999999997E-2</v>
      </c>
      <c r="E80" s="3">
        <f t="shared" si="10"/>
        <v>19.151999999999997</v>
      </c>
      <c r="F80" s="4">
        <v>141.19999999999999</v>
      </c>
      <c r="G80" s="3">
        <f t="shared" si="11"/>
        <v>2704.2623999999996</v>
      </c>
      <c r="H80" s="67">
        <f t="shared" si="9"/>
        <v>0.58603584353667781</v>
      </c>
      <c r="I80" s="40">
        <v>0</v>
      </c>
    </row>
    <row r="81" spans="1:9" ht="13.5" thickBot="1" x14ac:dyDescent="0.3">
      <c r="A81" s="72" t="s">
        <v>52</v>
      </c>
      <c r="B81" s="3">
        <v>4606.5</v>
      </c>
      <c r="C81" s="3">
        <f>16.7+511.3</f>
        <v>528</v>
      </c>
      <c r="D81" s="33">
        <v>3.5999999999999997E-2</v>
      </c>
      <c r="E81" s="3">
        <f t="shared" si="10"/>
        <v>19.007999999999999</v>
      </c>
      <c r="F81" s="4">
        <v>141.19999999999999</v>
      </c>
      <c r="G81" s="3">
        <f t="shared" si="11"/>
        <v>2683.9295999999995</v>
      </c>
      <c r="H81" s="67">
        <f t="shared" si="9"/>
        <v>0.58263966134809497</v>
      </c>
      <c r="I81" s="40">
        <v>0</v>
      </c>
    </row>
    <row r="82" spans="1:9" ht="13.5" thickBot="1" x14ac:dyDescent="0.3">
      <c r="A82" s="72" t="s">
        <v>53</v>
      </c>
      <c r="B82" s="3">
        <v>4647.8999999999996</v>
      </c>
      <c r="C82" s="3">
        <v>544.9</v>
      </c>
      <c r="D82" s="33">
        <v>3.5999999999999997E-2</v>
      </c>
      <c r="E82" s="3">
        <f t="shared" si="10"/>
        <v>19.616399999999999</v>
      </c>
      <c r="F82" s="4">
        <v>141.19999999999999</v>
      </c>
      <c r="G82" s="3">
        <f t="shared" si="11"/>
        <v>2769.8356799999997</v>
      </c>
      <c r="H82" s="67">
        <f t="shared" si="9"/>
        <v>0.59593271800167813</v>
      </c>
      <c r="I82" s="40">
        <v>0</v>
      </c>
    </row>
    <row r="83" spans="1:9" ht="13.5" thickBot="1" x14ac:dyDescent="0.3">
      <c r="A83" s="72" t="s">
        <v>54</v>
      </c>
      <c r="B83" s="3">
        <v>3474</v>
      </c>
      <c r="C83" s="3">
        <v>468.2</v>
      </c>
      <c r="D83" s="33">
        <v>3.5999999999999997E-2</v>
      </c>
      <c r="E83" s="3">
        <f t="shared" si="10"/>
        <v>16.8552</v>
      </c>
      <c r="F83" s="4">
        <v>141.19999999999999</v>
      </c>
      <c r="G83" s="3">
        <f t="shared" si="11"/>
        <v>2379.95424</v>
      </c>
      <c r="H83" s="67">
        <f t="shared" si="9"/>
        <v>0.68507606217616579</v>
      </c>
      <c r="I83" s="40">
        <v>0</v>
      </c>
    </row>
    <row r="84" spans="1:9" ht="13.5" thickBot="1" x14ac:dyDescent="0.3">
      <c r="A84" s="72" t="s">
        <v>55</v>
      </c>
      <c r="B84" s="3">
        <v>5501.92</v>
      </c>
      <c r="C84" s="3">
        <v>702.1</v>
      </c>
      <c r="D84" s="33">
        <v>3.5999999999999997E-2</v>
      </c>
      <c r="E84" s="3">
        <f t="shared" si="10"/>
        <v>25.275599999999997</v>
      </c>
      <c r="F84" s="4">
        <v>141.19999999999999</v>
      </c>
      <c r="G84" s="3">
        <f t="shared" si="11"/>
        <v>3568.9147199999993</v>
      </c>
      <c r="H84" s="67">
        <f t="shared" si="9"/>
        <v>0.6486671416523685</v>
      </c>
      <c r="I84" s="40">
        <v>0</v>
      </c>
    </row>
    <row r="85" spans="1:9" ht="13.5" thickBot="1" x14ac:dyDescent="0.3">
      <c r="A85" s="72" t="s">
        <v>56</v>
      </c>
      <c r="B85" s="3">
        <v>5501.9</v>
      </c>
      <c r="C85" s="3">
        <v>731.2</v>
      </c>
      <c r="D85" s="33">
        <v>3.5999999999999997E-2</v>
      </c>
      <c r="E85" s="3">
        <f t="shared" si="10"/>
        <v>26.3232</v>
      </c>
      <c r="F85" s="4">
        <v>141.19999999999999</v>
      </c>
      <c r="G85" s="3">
        <f t="shared" si="11"/>
        <v>3716.8358399999997</v>
      </c>
      <c r="H85" s="67">
        <f t="shared" si="9"/>
        <v>0.67555496101346812</v>
      </c>
      <c r="I85" s="40">
        <v>0</v>
      </c>
    </row>
    <row r="86" spans="1:9" ht="13.5" thickBot="1" x14ac:dyDescent="0.3">
      <c r="A86" s="72" t="s">
        <v>57</v>
      </c>
      <c r="B86" s="3">
        <v>894.9</v>
      </c>
      <c r="C86" s="3">
        <f>37.3+88.9</f>
        <v>126.2</v>
      </c>
      <c r="D86" s="33">
        <v>3.5999999999999997E-2</v>
      </c>
      <c r="E86" s="3">
        <f t="shared" si="10"/>
        <v>4.5431999999999997</v>
      </c>
      <c r="F86" s="4">
        <v>141.19999999999999</v>
      </c>
      <c r="G86" s="3">
        <f t="shared" si="11"/>
        <v>641.49983999999995</v>
      </c>
      <c r="H86" s="67">
        <f t="shared" si="9"/>
        <v>0.71683969158565197</v>
      </c>
      <c r="I86" s="40">
        <v>0</v>
      </c>
    </row>
    <row r="87" spans="1:9" ht="13.5" thickBot="1" x14ac:dyDescent="0.3">
      <c r="A87" s="72" t="s">
        <v>58</v>
      </c>
      <c r="B87" s="3">
        <v>3437.3</v>
      </c>
      <c r="C87" s="3">
        <f>5.2+5.2+360.6</f>
        <v>371</v>
      </c>
      <c r="D87" s="33">
        <v>3.5999999999999997E-2</v>
      </c>
      <c r="E87" s="3">
        <f t="shared" si="10"/>
        <v>13.356</v>
      </c>
      <c r="F87" s="4">
        <v>141.19999999999999</v>
      </c>
      <c r="G87" s="3">
        <f t="shared" si="11"/>
        <v>1885.8671999999999</v>
      </c>
      <c r="H87" s="67">
        <f t="shared" si="9"/>
        <v>0.54864783405579953</v>
      </c>
      <c r="I87" s="40">
        <v>0</v>
      </c>
    </row>
    <row r="88" spans="1:9" ht="13.5" thickBot="1" x14ac:dyDescent="0.3">
      <c r="A88" s="72" t="s">
        <v>59</v>
      </c>
      <c r="B88" s="3">
        <v>3349.9</v>
      </c>
      <c r="C88" s="3">
        <f>17+328.6</f>
        <v>345.6</v>
      </c>
      <c r="D88" s="33">
        <v>3.5999999999999997E-2</v>
      </c>
      <c r="E88" s="3">
        <f t="shared" si="10"/>
        <v>12.441599999999999</v>
      </c>
      <c r="F88" s="4">
        <v>141.19999999999999</v>
      </c>
      <c r="G88" s="3">
        <f t="shared" si="11"/>
        <v>1756.7539199999997</v>
      </c>
      <c r="H88" s="67">
        <f t="shared" si="9"/>
        <v>0.52441980954655354</v>
      </c>
      <c r="I88" s="40">
        <v>0</v>
      </c>
    </row>
    <row r="89" spans="1:9" ht="13.5" thickBot="1" x14ac:dyDescent="0.3">
      <c r="A89" s="72" t="s">
        <v>60</v>
      </c>
      <c r="B89" s="3">
        <v>3411</v>
      </c>
      <c r="C89" s="3">
        <v>360.6</v>
      </c>
      <c r="D89" s="33">
        <v>3.5999999999999997E-2</v>
      </c>
      <c r="E89" s="3">
        <f t="shared" si="10"/>
        <v>12.9816</v>
      </c>
      <c r="F89" s="4">
        <v>141.19999999999999</v>
      </c>
      <c r="G89" s="3">
        <f t="shared" si="11"/>
        <v>1833.0019199999999</v>
      </c>
      <c r="H89" s="67">
        <f t="shared" si="9"/>
        <v>0.53737963060686011</v>
      </c>
      <c r="I89" s="40">
        <v>0</v>
      </c>
    </row>
    <row r="90" spans="1:9" ht="13.5" thickBot="1" x14ac:dyDescent="0.3">
      <c r="A90" s="72" t="s">
        <v>61</v>
      </c>
      <c r="B90" s="3">
        <v>3275</v>
      </c>
      <c r="C90" s="3">
        <v>369.8</v>
      </c>
      <c r="D90" s="33">
        <v>3.5999999999999997E-2</v>
      </c>
      <c r="E90" s="3">
        <f t="shared" si="10"/>
        <v>13.312799999999999</v>
      </c>
      <c r="F90" s="4">
        <v>141.19999999999999</v>
      </c>
      <c r="G90" s="3">
        <f t="shared" si="11"/>
        <v>1879.7673599999998</v>
      </c>
      <c r="H90" s="67">
        <f t="shared" si="9"/>
        <v>0.57397476641221368</v>
      </c>
      <c r="I90" s="40">
        <v>0</v>
      </c>
    </row>
    <row r="91" spans="1:9" ht="13.5" thickBot="1" x14ac:dyDescent="0.3">
      <c r="A91" s="72" t="s">
        <v>62</v>
      </c>
      <c r="B91" s="3">
        <v>4650.5</v>
      </c>
      <c r="C91" s="3">
        <v>563.70000000000005</v>
      </c>
      <c r="D91" s="33">
        <v>3.5999999999999997E-2</v>
      </c>
      <c r="E91" s="3">
        <f t="shared" si="10"/>
        <v>20.293199999999999</v>
      </c>
      <c r="F91" s="4">
        <v>141.19999999999999</v>
      </c>
      <c r="G91" s="3">
        <f t="shared" si="11"/>
        <v>2865.3998399999996</v>
      </c>
      <c r="H91" s="67">
        <f t="shared" si="9"/>
        <v>0.61614876679926878</v>
      </c>
      <c r="I91" s="40">
        <v>0</v>
      </c>
    </row>
    <row r="92" spans="1:9" ht="13.5" thickBot="1" x14ac:dyDescent="0.3">
      <c r="A92" s="72" t="s">
        <v>63</v>
      </c>
      <c r="B92" s="3">
        <v>3257</v>
      </c>
      <c r="C92" s="3">
        <v>379.7</v>
      </c>
      <c r="D92" s="33">
        <v>3.5999999999999997E-2</v>
      </c>
      <c r="E92" s="3">
        <f t="shared" si="10"/>
        <v>13.669199999999998</v>
      </c>
      <c r="F92" s="4">
        <v>141.19999999999999</v>
      </c>
      <c r="G92" s="3">
        <f t="shared" si="11"/>
        <v>1930.0910399999996</v>
      </c>
      <c r="H92" s="67">
        <f t="shared" si="9"/>
        <v>0.59259780165796727</v>
      </c>
      <c r="I92" s="40">
        <v>0</v>
      </c>
    </row>
    <row r="93" spans="1:9" ht="13.5" thickBot="1" x14ac:dyDescent="0.3">
      <c r="A93" s="72" t="s">
        <v>64</v>
      </c>
      <c r="B93" s="3">
        <v>4619.5</v>
      </c>
      <c r="C93" s="3">
        <v>565</v>
      </c>
      <c r="D93" s="33">
        <v>3.5999999999999997E-2</v>
      </c>
      <c r="E93" s="3">
        <f t="shared" si="10"/>
        <v>20.34</v>
      </c>
      <c r="F93" s="4">
        <v>141.19999999999999</v>
      </c>
      <c r="G93" s="3">
        <f t="shared" si="11"/>
        <v>2872.0079999999998</v>
      </c>
      <c r="H93" s="67">
        <f t="shared" si="9"/>
        <v>0.62171403831583505</v>
      </c>
      <c r="I93" s="40">
        <v>0</v>
      </c>
    </row>
    <row r="94" spans="1:9" ht="13.5" thickBot="1" x14ac:dyDescent="0.3">
      <c r="A94" s="72" t="s">
        <v>65</v>
      </c>
      <c r="B94" s="3">
        <v>3312</v>
      </c>
      <c r="C94" s="3">
        <v>368.4</v>
      </c>
      <c r="D94" s="33">
        <v>3.5999999999999997E-2</v>
      </c>
      <c r="E94" s="3">
        <f t="shared" si="10"/>
        <v>13.262399999999998</v>
      </c>
      <c r="F94" s="4">
        <v>141.19999999999999</v>
      </c>
      <c r="G94" s="3">
        <f t="shared" si="11"/>
        <v>1872.6508799999995</v>
      </c>
      <c r="H94" s="67">
        <f t="shared" si="9"/>
        <v>0.5654139130434781</v>
      </c>
      <c r="I94" s="40">
        <v>0</v>
      </c>
    </row>
    <row r="95" spans="1:9" ht="13.5" thickBot="1" x14ac:dyDescent="0.3">
      <c r="A95" s="72" t="s">
        <v>66</v>
      </c>
      <c r="B95" s="3">
        <v>3352.8</v>
      </c>
      <c r="C95" s="3">
        <v>376.9</v>
      </c>
      <c r="D95" s="33">
        <v>3.5999999999999997E-2</v>
      </c>
      <c r="E95" s="3">
        <f t="shared" si="10"/>
        <v>13.568399999999999</v>
      </c>
      <c r="F95" s="4">
        <v>141.19999999999999</v>
      </c>
      <c r="G95" s="3">
        <f t="shared" si="11"/>
        <v>1915.8580799999997</v>
      </c>
      <c r="H95" s="67">
        <f t="shared" si="9"/>
        <v>0.57142032927702213</v>
      </c>
      <c r="I95" s="40">
        <v>0</v>
      </c>
    </row>
    <row r="96" spans="1:9" ht="13.5" thickBot="1" x14ac:dyDescent="0.3">
      <c r="A96" s="72" t="s">
        <v>67</v>
      </c>
      <c r="B96" s="3">
        <v>3440.8</v>
      </c>
      <c r="C96" s="3">
        <v>325.7</v>
      </c>
      <c r="D96" s="33">
        <v>3.5999999999999997E-2</v>
      </c>
      <c r="E96" s="3">
        <f t="shared" si="10"/>
        <v>11.725199999999999</v>
      </c>
      <c r="F96" s="4">
        <v>141.19999999999999</v>
      </c>
      <c r="G96" s="3">
        <f t="shared" si="11"/>
        <v>1655.5982399999998</v>
      </c>
      <c r="H96" s="67">
        <f t="shared" si="9"/>
        <v>0.48116665891653093</v>
      </c>
      <c r="I96" s="40">
        <v>0</v>
      </c>
    </row>
    <row r="97" spans="1:9" ht="13.5" thickBot="1" x14ac:dyDescent="0.3">
      <c r="A97" s="72" t="s">
        <v>68</v>
      </c>
      <c r="B97" s="3">
        <v>3391.8</v>
      </c>
      <c r="C97" s="3">
        <v>390.7</v>
      </c>
      <c r="D97" s="33">
        <v>3.5999999999999997E-2</v>
      </c>
      <c r="E97" s="3">
        <f t="shared" si="10"/>
        <v>14.065199999999999</v>
      </c>
      <c r="F97" s="4">
        <v>141.19999999999999</v>
      </c>
      <c r="G97" s="3">
        <f t="shared" si="11"/>
        <v>1986.0062399999997</v>
      </c>
      <c r="H97" s="67">
        <f t="shared" si="9"/>
        <v>0.5855316469131433</v>
      </c>
      <c r="I97" s="40">
        <v>0</v>
      </c>
    </row>
    <row r="98" spans="1:9" ht="13.5" thickBot="1" x14ac:dyDescent="0.3">
      <c r="A98" s="72" t="s">
        <v>69</v>
      </c>
      <c r="B98" s="3">
        <v>3431.8</v>
      </c>
      <c r="C98" s="3">
        <f>23.2+309.1</f>
        <v>332.3</v>
      </c>
      <c r="D98" s="33">
        <v>3.5999999999999997E-2</v>
      </c>
      <c r="E98" s="3">
        <f t="shared" si="10"/>
        <v>11.9628</v>
      </c>
      <c r="F98" s="4">
        <v>141.19999999999999</v>
      </c>
      <c r="G98" s="3">
        <f t="shared" si="11"/>
        <v>1689.1473599999997</v>
      </c>
      <c r="H98" s="67">
        <f t="shared" si="9"/>
        <v>0.49220448744099293</v>
      </c>
      <c r="I98" s="40">
        <v>0</v>
      </c>
    </row>
    <row r="99" spans="1:9" ht="13.5" thickBot="1" x14ac:dyDescent="0.3">
      <c r="A99" s="72" t="s">
        <v>70</v>
      </c>
      <c r="B99" s="3">
        <v>944.4</v>
      </c>
      <c r="C99" s="3">
        <f>27.8+84.4</f>
        <v>112.2</v>
      </c>
      <c r="D99" s="33">
        <v>3.5999999999999997E-2</v>
      </c>
      <c r="E99" s="3">
        <f t="shared" si="10"/>
        <v>4.0392000000000001</v>
      </c>
      <c r="F99" s="4">
        <v>141.19999999999999</v>
      </c>
      <c r="G99" s="3">
        <f t="shared" si="11"/>
        <v>570.33503999999994</v>
      </c>
      <c r="H99" s="67">
        <f t="shared" si="9"/>
        <v>0.6039125794155018</v>
      </c>
      <c r="I99" s="40">
        <v>0</v>
      </c>
    </row>
    <row r="100" spans="1:9" ht="13.5" thickBot="1" x14ac:dyDescent="0.3">
      <c r="A100" s="72" t="s">
        <v>71</v>
      </c>
      <c r="B100" s="3">
        <v>3348.35</v>
      </c>
      <c r="C100" s="3">
        <v>330.4</v>
      </c>
      <c r="D100" s="33">
        <v>3.2000000000000001E-2</v>
      </c>
      <c r="E100" s="3">
        <f t="shared" si="10"/>
        <v>10.572799999999999</v>
      </c>
      <c r="F100" s="4">
        <v>141.19999999999999</v>
      </c>
      <c r="G100" s="3">
        <f t="shared" si="11"/>
        <v>1492.8793599999997</v>
      </c>
      <c r="H100" s="67">
        <f t="shared" si="9"/>
        <v>0.44585523018800294</v>
      </c>
      <c r="I100" s="40">
        <v>0.43</v>
      </c>
    </row>
    <row r="101" spans="1:9" ht="13.5" thickBot="1" x14ac:dyDescent="0.3">
      <c r="A101" s="72" t="s">
        <v>72</v>
      </c>
      <c r="B101" s="3">
        <v>5267.5</v>
      </c>
      <c r="C101" s="3">
        <f>631.7+17.6+343.3</f>
        <v>992.60000000000014</v>
      </c>
      <c r="D101" s="33">
        <v>3.2000000000000001E-2</v>
      </c>
      <c r="E101" s="3">
        <f t="shared" si="10"/>
        <v>31.763200000000005</v>
      </c>
      <c r="F101" s="4">
        <v>141.19999999999999</v>
      </c>
      <c r="G101" s="3">
        <f t="shared" si="11"/>
        <v>4484.9638400000003</v>
      </c>
      <c r="H101" s="67">
        <f t="shared" si="9"/>
        <v>0.85144069102990039</v>
      </c>
      <c r="I101" s="40">
        <v>0.79</v>
      </c>
    </row>
    <row r="102" spans="1:9" ht="13.5" thickBot="1" x14ac:dyDescent="0.3">
      <c r="A102" s="72" t="s">
        <v>130</v>
      </c>
      <c r="B102" s="3">
        <v>4337</v>
      </c>
      <c r="C102" s="3">
        <f>5.1+6.1+8.8+457.7</f>
        <v>477.7</v>
      </c>
      <c r="D102" s="33">
        <v>3.5999999999999997E-2</v>
      </c>
      <c r="E102" s="3">
        <f t="shared" si="10"/>
        <v>17.197199999999999</v>
      </c>
      <c r="F102" s="4">
        <v>141.19999999999999</v>
      </c>
      <c r="G102" s="3">
        <f t="shared" si="11"/>
        <v>2428.2446399999994</v>
      </c>
      <c r="H102" s="67">
        <f t="shared" si="9"/>
        <v>0.55989039428176146</v>
      </c>
      <c r="I102" s="40">
        <v>0</v>
      </c>
    </row>
    <row r="103" spans="1:9" ht="13.5" thickBot="1" x14ac:dyDescent="0.3">
      <c r="A103" s="72" t="s">
        <v>73</v>
      </c>
      <c r="B103" s="3">
        <v>3392.2</v>
      </c>
      <c r="C103" s="3">
        <v>356.7</v>
      </c>
      <c r="D103" s="33">
        <v>3.5999999999999997E-2</v>
      </c>
      <c r="E103" s="3">
        <f t="shared" si="10"/>
        <v>12.841199999999999</v>
      </c>
      <c r="F103" s="4">
        <v>141.19999999999999</v>
      </c>
      <c r="G103" s="3">
        <f t="shared" si="11"/>
        <v>1813.1774399999997</v>
      </c>
      <c r="H103" s="67">
        <f t="shared" si="9"/>
        <v>0.53451371970992267</v>
      </c>
      <c r="I103" s="40">
        <v>0</v>
      </c>
    </row>
    <row r="104" spans="1:9" ht="13.5" thickBot="1" x14ac:dyDescent="0.3">
      <c r="A104" s="72" t="s">
        <v>74</v>
      </c>
      <c r="B104" s="3">
        <v>3451.3</v>
      </c>
      <c r="C104" s="3">
        <v>366.7</v>
      </c>
      <c r="D104" s="33">
        <v>3.5999999999999997E-2</v>
      </c>
      <c r="E104" s="3">
        <f t="shared" si="10"/>
        <v>13.201199999999998</v>
      </c>
      <c r="F104" s="4">
        <v>141.19999999999999</v>
      </c>
      <c r="G104" s="3">
        <f t="shared" si="11"/>
        <v>1864.0094399999996</v>
      </c>
      <c r="H104" s="67">
        <f t="shared" si="9"/>
        <v>0.54008907947729823</v>
      </c>
      <c r="I104" s="40">
        <v>0</v>
      </c>
    </row>
    <row r="105" spans="1:9" ht="13.5" thickBot="1" x14ac:dyDescent="0.3">
      <c r="A105" s="73" t="s">
        <v>75</v>
      </c>
      <c r="B105" s="68">
        <v>3420.84</v>
      </c>
      <c r="C105" s="68">
        <v>377.8</v>
      </c>
      <c r="D105" s="71">
        <v>3.5999999999999997E-2</v>
      </c>
      <c r="E105" s="68">
        <f t="shared" si="10"/>
        <v>13.6008</v>
      </c>
      <c r="F105" s="69">
        <v>141.19999999999999</v>
      </c>
      <c r="G105" s="68">
        <f t="shared" si="11"/>
        <v>1920.4329599999999</v>
      </c>
      <c r="H105" s="70">
        <f t="shared" si="9"/>
        <v>0.56139221945487072</v>
      </c>
      <c r="I105" s="40">
        <v>0</v>
      </c>
    </row>
    <row r="107" spans="1:9" ht="13.5" thickBot="1" x14ac:dyDescent="0.3">
      <c r="A107" s="66" t="s">
        <v>44</v>
      </c>
      <c r="B107" s="1"/>
      <c r="I107" s="2">
        <v>40.909999999999997</v>
      </c>
    </row>
    <row r="108" spans="1:9" ht="64.5" thickBot="1" x14ac:dyDescent="0.3">
      <c r="A108" s="74" t="s">
        <v>2</v>
      </c>
      <c r="B108" s="75" t="s">
        <v>8</v>
      </c>
      <c r="C108" s="75" t="s">
        <v>9</v>
      </c>
      <c r="D108" s="75" t="s">
        <v>10</v>
      </c>
      <c r="E108" s="75" t="s">
        <v>15</v>
      </c>
      <c r="F108" s="75" t="s">
        <v>16</v>
      </c>
      <c r="G108" s="75" t="s">
        <v>13</v>
      </c>
      <c r="H108" s="76" t="s">
        <v>14</v>
      </c>
      <c r="I108" s="39" t="s">
        <v>83</v>
      </c>
    </row>
    <row r="109" spans="1:9" ht="13.5" thickBot="1" x14ac:dyDescent="0.3">
      <c r="A109" s="72" t="s">
        <v>46</v>
      </c>
      <c r="B109" s="3">
        <v>5591.1</v>
      </c>
      <c r="C109" s="3">
        <v>622</v>
      </c>
      <c r="D109" s="33">
        <v>7.1999999999999995E-2</v>
      </c>
      <c r="E109" s="3">
        <f>C109*D109</f>
        <v>44.783999999999999</v>
      </c>
      <c r="F109" s="4">
        <f>$I$107</f>
        <v>40.909999999999997</v>
      </c>
      <c r="G109" s="3">
        <f t="shared" ref="G109:G139" si="12">E109*F109</f>
        <v>1832.1134399999999</v>
      </c>
      <c r="H109" s="67">
        <f t="shared" ref="H109:H139" si="13">G109/B109</f>
        <v>0.32768389762300792</v>
      </c>
      <c r="I109" s="35">
        <v>0.28999999999999998</v>
      </c>
    </row>
    <row r="110" spans="1:9" ht="13.5" thickBot="1" x14ac:dyDescent="0.3">
      <c r="A110" s="72" t="s">
        <v>47</v>
      </c>
      <c r="B110" s="3">
        <v>3358.9</v>
      </c>
      <c r="C110" s="3">
        <v>328.7</v>
      </c>
      <c r="D110" s="33">
        <v>7.1999999999999995E-2</v>
      </c>
      <c r="E110" s="3">
        <f t="shared" ref="E110:E139" si="14">C110*D110</f>
        <v>23.666399999999996</v>
      </c>
      <c r="F110" s="4">
        <f t="shared" ref="F110:F139" si="15">$I$107</f>
        <v>40.909999999999997</v>
      </c>
      <c r="G110" s="3">
        <f t="shared" si="12"/>
        <v>968.19242399999973</v>
      </c>
      <c r="H110" s="67">
        <f t="shared" si="13"/>
        <v>0.28824687367888285</v>
      </c>
      <c r="I110" s="35">
        <v>0.27</v>
      </c>
    </row>
    <row r="111" spans="1:9" ht="13.5" thickBot="1" x14ac:dyDescent="0.3">
      <c r="A111" s="72" t="s">
        <v>48</v>
      </c>
      <c r="B111" s="3">
        <v>5560.3</v>
      </c>
      <c r="C111" s="3">
        <v>686.3</v>
      </c>
      <c r="D111" s="33">
        <v>7.1999999999999995E-2</v>
      </c>
      <c r="E111" s="3">
        <f t="shared" si="14"/>
        <v>49.413599999999995</v>
      </c>
      <c r="F111" s="4">
        <f t="shared" si="15"/>
        <v>40.909999999999997</v>
      </c>
      <c r="G111" s="3">
        <f t="shared" si="12"/>
        <v>2021.5103759999997</v>
      </c>
      <c r="H111" s="67">
        <f t="shared" si="13"/>
        <v>0.36356138625613721</v>
      </c>
      <c r="I111" s="35">
        <v>0.34</v>
      </c>
    </row>
    <row r="112" spans="1:9" ht="13.5" thickBot="1" x14ac:dyDescent="0.3">
      <c r="A112" s="72" t="s">
        <v>49</v>
      </c>
      <c r="B112" s="3">
        <v>6351.1</v>
      </c>
      <c r="C112" s="3">
        <v>263.60000000000002</v>
      </c>
      <c r="D112" s="33">
        <v>2.8000000000000001E-2</v>
      </c>
      <c r="E112" s="3">
        <f t="shared" si="14"/>
        <v>7.3808000000000007</v>
      </c>
      <c r="F112" s="4">
        <f t="shared" si="15"/>
        <v>40.909999999999997</v>
      </c>
      <c r="G112" s="3">
        <f t="shared" si="12"/>
        <v>301.94852800000001</v>
      </c>
      <c r="H112" s="67">
        <f t="shared" si="13"/>
        <v>4.7542713545684998E-2</v>
      </c>
      <c r="I112" s="35">
        <v>0.11</v>
      </c>
    </row>
    <row r="113" spans="1:9" ht="13.5" thickBot="1" x14ac:dyDescent="0.3">
      <c r="A113" s="72" t="s">
        <v>50</v>
      </c>
      <c r="B113" s="3">
        <v>6297.3</v>
      </c>
      <c r="C113" s="3">
        <v>267.5</v>
      </c>
      <c r="D113" s="33">
        <v>2.8000000000000001E-2</v>
      </c>
      <c r="E113" s="3">
        <f t="shared" si="14"/>
        <v>7.49</v>
      </c>
      <c r="F113" s="4">
        <f t="shared" si="15"/>
        <v>40.909999999999997</v>
      </c>
      <c r="G113" s="3">
        <f t="shared" si="12"/>
        <v>306.41589999999997</v>
      </c>
      <c r="H113" s="67">
        <f t="shared" si="13"/>
        <v>4.8658298000730467E-2</v>
      </c>
      <c r="I113" s="38">
        <v>0.1</v>
      </c>
    </row>
    <row r="114" spans="1:9" ht="13.5" thickBot="1" x14ac:dyDescent="0.3">
      <c r="A114" s="72" t="s">
        <v>51</v>
      </c>
      <c r="B114" s="3">
        <v>4614.5</v>
      </c>
      <c r="C114" s="3">
        <v>532</v>
      </c>
      <c r="D114" s="33">
        <v>7.1999999999999995E-2</v>
      </c>
      <c r="E114" s="3">
        <f t="shared" si="14"/>
        <v>38.303999999999995</v>
      </c>
      <c r="F114" s="4">
        <f t="shared" si="15"/>
        <v>40.909999999999997</v>
      </c>
      <c r="G114" s="3">
        <f t="shared" si="12"/>
        <v>1567.0166399999996</v>
      </c>
      <c r="H114" s="67">
        <f t="shared" si="13"/>
        <v>0.33958535919384542</v>
      </c>
      <c r="I114" s="35">
        <v>0.32</v>
      </c>
    </row>
    <row r="115" spans="1:9" ht="13.5" thickBot="1" x14ac:dyDescent="0.3">
      <c r="A115" s="72" t="s">
        <v>52</v>
      </c>
      <c r="B115" s="3">
        <v>4606.5</v>
      </c>
      <c r="C115" s="3">
        <f>16.7+511.3</f>
        <v>528</v>
      </c>
      <c r="D115" s="33">
        <v>7.1999999999999995E-2</v>
      </c>
      <c r="E115" s="3">
        <f t="shared" si="14"/>
        <v>38.015999999999998</v>
      </c>
      <c r="F115" s="4">
        <f t="shared" si="15"/>
        <v>40.909999999999997</v>
      </c>
      <c r="G115" s="3">
        <f t="shared" si="12"/>
        <v>1555.2345599999999</v>
      </c>
      <c r="H115" s="67">
        <f t="shared" si="13"/>
        <v>0.33761740149788338</v>
      </c>
      <c r="I115" s="35">
        <v>0.32</v>
      </c>
    </row>
    <row r="116" spans="1:9" ht="13.5" thickBot="1" x14ac:dyDescent="0.3">
      <c r="A116" s="72" t="s">
        <v>53</v>
      </c>
      <c r="B116" s="3">
        <v>4647.8999999999996</v>
      </c>
      <c r="C116" s="3">
        <v>544.9</v>
      </c>
      <c r="D116" s="33">
        <v>7.1999999999999995E-2</v>
      </c>
      <c r="E116" s="3">
        <f t="shared" si="14"/>
        <v>39.232799999999997</v>
      </c>
      <c r="F116" s="4">
        <f t="shared" si="15"/>
        <v>40.909999999999997</v>
      </c>
      <c r="G116" s="3">
        <f t="shared" si="12"/>
        <v>1605.0138479999998</v>
      </c>
      <c r="H116" s="67">
        <f t="shared" si="13"/>
        <v>0.34532021945394692</v>
      </c>
      <c r="I116" s="35">
        <v>0.32</v>
      </c>
    </row>
    <row r="117" spans="1:9" ht="13.5" thickBot="1" x14ac:dyDescent="0.3">
      <c r="A117" s="72" t="s">
        <v>54</v>
      </c>
      <c r="B117" s="3">
        <v>3474</v>
      </c>
      <c r="C117" s="3">
        <v>468.2</v>
      </c>
      <c r="D117" s="33">
        <v>7.1999999999999995E-2</v>
      </c>
      <c r="E117" s="3">
        <f t="shared" si="14"/>
        <v>33.7104</v>
      </c>
      <c r="F117" s="4">
        <f t="shared" si="15"/>
        <v>40.909999999999997</v>
      </c>
      <c r="G117" s="3">
        <f t="shared" si="12"/>
        <v>1379.0924639999998</v>
      </c>
      <c r="H117" s="67">
        <f t="shared" si="13"/>
        <v>0.39697537823834195</v>
      </c>
      <c r="I117" s="35">
        <v>0.31</v>
      </c>
    </row>
    <row r="118" spans="1:9" ht="13.5" thickBot="1" x14ac:dyDescent="0.3">
      <c r="A118" s="72" t="s">
        <v>55</v>
      </c>
      <c r="B118" s="3">
        <v>5501.92</v>
      </c>
      <c r="C118" s="3">
        <v>702.1</v>
      </c>
      <c r="D118" s="33">
        <v>7.1999999999999995E-2</v>
      </c>
      <c r="E118" s="3">
        <f t="shared" si="14"/>
        <v>50.551199999999994</v>
      </c>
      <c r="F118" s="4">
        <f t="shared" si="15"/>
        <v>40.909999999999997</v>
      </c>
      <c r="G118" s="3">
        <f t="shared" si="12"/>
        <v>2068.0495919999994</v>
      </c>
      <c r="H118" s="67">
        <f t="shared" si="13"/>
        <v>0.37587780120394326</v>
      </c>
      <c r="I118" s="38">
        <v>0.3</v>
      </c>
    </row>
    <row r="119" spans="1:9" ht="13.5" thickBot="1" x14ac:dyDescent="0.3">
      <c r="A119" s="72" t="s">
        <v>56</v>
      </c>
      <c r="B119" s="3">
        <v>5501.9</v>
      </c>
      <c r="C119" s="3">
        <v>731.2</v>
      </c>
      <c r="D119" s="33">
        <v>7.1999999999999995E-2</v>
      </c>
      <c r="E119" s="3">
        <f t="shared" si="14"/>
        <v>52.6464</v>
      </c>
      <c r="F119" s="4">
        <f t="shared" si="15"/>
        <v>40.909999999999997</v>
      </c>
      <c r="G119" s="3">
        <f t="shared" si="12"/>
        <v>2153.764224</v>
      </c>
      <c r="H119" s="67">
        <f t="shared" si="13"/>
        <v>0.39145826423599123</v>
      </c>
      <c r="I119" s="35">
        <v>0.31</v>
      </c>
    </row>
    <row r="120" spans="1:9" ht="13.5" thickBot="1" x14ac:dyDescent="0.3">
      <c r="A120" s="72" t="s">
        <v>57</v>
      </c>
      <c r="B120" s="3">
        <v>894.9</v>
      </c>
      <c r="C120" s="3">
        <f>37.3+88.9</f>
        <v>126.2</v>
      </c>
      <c r="D120" s="33">
        <v>7.1999999999999995E-2</v>
      </c>
      <c r="E120" s="3">
        <f t="shared" si="14"/>
        <v>9.0863999999999994</v>
      </c>
      <c r="F120" s="4">
        <f t="shared" si="15"/>
        <v>40.909999999999997</v>
      </c>
      <c r="G120" s="3">
        <f t="shared" si="12"/>
        <v>371.72462399999995</v>
      </c>
      <c r="H120" s="67">
        <f t="shared" si="13"/>
        <v>0.4153811867247737</v>
      </c>
      <c r="I120" s="35">
        <v>0.35</v>
      </c>
    </row>
    <row r="121" spans="1:9" ht="13.5" thickBot="1" x14ac:dyDescent="0.3">
      <c r="A121" s="72" t="s">
        <v>58</v>
      </c>
      <c r="B121" s="3">
        <v>3437.3</v>
      </c>
      <c r="C121" s="3">
        <f>5.2+5.2+360.6</f>
        <v>371</v>
      </c>
      <c r="D121" s="33">
        <v>7.1999999999999995E-2</v>
      </c>
      <c r="E121" s="3">
        <f t="shared" si="14"/>
        <v>26.712</v>
      </c>
      <c r="F121" s="4">
        <f t="shared" si="15"/>
        <v>40.909999999999997</v>
      </c>
      <c r="G121" s="3">
        <f t="shared" si="12"/>
        <v>1092.78792</v>
      </c>
      <c r="H121" s="67">
        <f t="shared" si="13"/>
        <v>0.31792043755273031</v>
      </c>
      <c r="I121" s="38">
        <v>0.3</v>
      </c>
    </row>
    <row r="122" spans="1:9" ht="13.5" thickBot="1" x14ac:dyDescent="0.3">
      <c r="A122" s="72" t="s">
        <v>59</v>
      </c>
      <c r="B122" s="3">
        <v>3349.9</v>
      </c>
      <c r="C122" s="3">
        <f>17+328.6</f>
        <v>345.6</v>
      </c>
      <c r="D122" s="33">
        <v>7.1999999999999995E-2</v>
      </c>
      <c r="E122" s="3">
        <f t="shared" si="14"/>
        <v>24.883199999999999</v>
      </c>
      <c r="F122" s="4">
        <f t="shared" si="15"/>
        <v>40.909999999999997</v>
      </c>
      <c r="G122" s="3">
        <f t="shared" si="12"/>
        <v>1017.9717119999999</v>
      </c>
      <c r="H122" s="67">
        <f t="shared" si="13"/>
        <v>0.30388122391713179</v>
      </c>
      <c r="I122" s="35">
        <v>0.28000000000000003</v>
      </c>
    </row>
    <row r="123" spans="1:9" ht="13.5" thickBot="1" x14ac:dyDescent="0.3">
      <c r="A123" s="72" t="s">
        <v>60</v>
      </c>
      <c r="B123" s="3">
        <v>3411</v>
      </c>
      <c r="C123" s="3">
        <v>360.6</v>
      </c>
      <c r="D123" s="33">
        <v>7.1999999999999995E-2</v>
      </c>
      <c r="E123" s="3">
        <f t="shared" si="14"/>
        <v>25.963200000000001</v>
      </c>
      <c r="F123" s="4">
        <f t="shared" si="15"/>
        <v>40.909999999999997</v>
      </c>
      <c r="G123" s="3">
        <f t="shared" si="12"/>
        <v>1062.1545119999998</v>
      </c>
      <c r="H123" s="67">
        <f t="shared" si="13"/>
        <v>0.31139094459102895</v>
      </c>
      <c r="I123" s="35">
        <v>0.28999999999999998</v>
      </c>
    </row>
    <row r="124" spans="1:9" ht="13.5" thickBot="1" x14ac:dyDescent="0.3">
      <c r="A124" s="72" t="s">
        <v>61</v>
      </c>
      <c r="B124" s="3">
        <v>3275</v>
      </c>
      <c r="C124" s="3">
        <v>369.8</v>
      </c>
      <c r="D124" s="33">
        <v>7.1999999999999995E-2</v>
      </c>
      <c r="E124" s="3">
        <f t="shared" si="14"/>
        <v>26.625599999999999</v>
      </c>
      <c r="F124" s="4">
        <f t="shared" si="15"/>
        <v>40.909999999999997</v>
      </c>
      <c r="G124" s="3">
        <f t="shared" si="12"/>
        <v>1089.2532959999999</v>
      </c>
      <c r="H124" s="67">
        <f t="shared" si="13"/>
        <v>0.33259642625954194</v>
      </c>
      <c r="I124" s="35">
        <v>0.31</v>
      </c>
    </row>
    <row r="125" spans="1:9" ht="13.5" thickBot="1" x14ac:dyDescent="0.3">
      <c r="A125" s="72" t="s">
        <v>62</v>
      </c>
      <c r="B125" s="3">
        <v>4650.5</v>
      </c>
      <c r="C125" s="3">
        <v>563.70000000000005</v>
      </c>
      <c r="D125" s="33">
        <v>7.1999999999999995E-2</v>
      </c>
      <c r="E125" s="3">
        <f t="shared" si="14"/>
        <v>40.586399999999998</v>
      </c>
      <c r="F125" s="4">
        <f t="shared" si="15"/>
        <v>40.909999999999997</v>
      </c>
      <c r="G125" s="3">
        <f t="shared" si="12"/>
        <v>1660.3896239999997</v>
      </c>
      <c r="H125" s="67">
        <f t="shared" si="13"/>
        <v>0.35703464659714002</v>
      </c>
      <c r="I125" s="35">
        <v>0.33</v>
      </c>
    </row>
    <row r="126" spans="1:9" ht="13.5" thickBot="1" x14ac:dyDescent="0.3">
      <c r="A126" s="72" t="s">
        <v>63</v>
      </c>
      <c r="B126" s="3">
        <v>3257</v>
      </c>
      <c r="C126" s="3">
        <v>379.7</v>
      </c>
      <c r="D126" s="33">
        <v>7.1999999999999995E-2</v>
      </c>
      <c r="E126" s="3">
        <f t="shared" si="14"/>
        <v>27.338399999999996</v>
      </c>
      <c r="F126" s="4">
        <f t="shared" si="15"/>
        <v>40.909999999999997</v>
      </c>
      <c r="G126" s="3">
        <f t="shared" si="12"/>
        <v>1118.4139439999997</v>
      </c>
      <c r="H126" s="67">
        <f t="shared" si="13"/>
        <v>0.34338776297206008</v>
      </c>
      <c r="I126" s="35">
        <v>0.32</v>
      </c>
    </row>
    <row r="127" spans="1:9" ht="13.5" thickBot="1" x14ac:dyDescent="0.3">
      <c r="A127" s="72" t="s">
        <v>64</v>
      </c>
      <c r="B127" s="3">
        <v>4619.5</v>
      </c>
      <c r="C127" s="3">
        <v>565</v>
      </c>
      <c r="D127" s="33">
        <v>7.1999999999999995E-2</v>
      </c>
      <c r="E127" s="3">
        <f t="shared" si="14"/>
        <v>40.68</v>
      </c>
      <c r="F127" s="4">
        <f t="shared" si="15"/>
        <v>40.909999999999997</v>
      </c>
      <c r="G127" s="3">
        <f t="shared" si="12"/>
        <v>1664.2187999999999</v>
      </c>
      <c r="H127" s="67">
        <f t="shared" si="13"/>
        <v>0.36025950860482736</v>
      </c>
      <c r="I127" s="35">
        <v>0.34</v>
      </c>
    </row>
    <row r="128" spans="1:9" ht="13.5" thickBot="1" x14ac:dyDescent="0.3">
      <c r="A128" s="72" t="s">
        <v>65</v>
      </c>
      <c r="B128" s="3">
        <v>3312</v>
      </c>
      <c r="C128" s="3">
        <v>368.4</v>
      </c>
      <c r="D128" s="33">
        <v>7.1999999999999995E-2</v>
      </c>
      <c r="E128" s="3">
        <f t="shared" si="14"/>
        <v>26.524799999999995</v>
      </c>
      <c r="F128" s="4">
        <f t="shared" si="15"/>
        <v>40.909999999999997</v>
      </c>
      <c r="G128" s="3">
        <f t="shared" si="12"/>
        <v>1085.1295679999998</v>
      </c>
      <c r="H128" s="67">
        <f t="shared" si="13"/>
        <v>0.32763573913043476</v>
      </c>
      <c r="I128" s="35">
        <v>0.31</v>
      </c>
    </row>
    <row r="129" spans="1:9" ht="13.5" thickBot="1" x14ac:dyDescent="0.3">
      <c r="A129" s="72" t="s">
        <v>66</v>
      </c>
      <c r="B129" s="3">
        <v>3352.8</v>
      </c>
      <c r="C129" s="3">
        <v>376.9</v>
      </c>
      <c r="D129" s="33">
        <v>7.1999999999999995E-2</v>
      </c>
      <c r="E129" s="3">
        <f t="shared" si="14"/>
        <v>27.136799999999997</v>
      </c>
      <c r="F129" s="4">
        <f t="shared" si="15"/>
        <v>40.909999999999997</v>
      </c>
      <c r="G129" s="3">
        <f t="shared" si="12"/>
        <v>1110.1664879999998</v>
      </c>
      <c r="H129" s="67">
        <f t="shared" si="13"/>
        <v>0.33111622763063703</v>
      </c>
      <c r="I129" s="35">
        <v>0.31</v>
      </c>
    </row>
    <row r="130" spans="1:9" ht="13.5" thickBot="1" x14ac:dyDescent="0.3">
      <c r="A130" s="72" t="s">
        <v>67</v>
      </c>
      <c r="B130" s="3">
        <v>3440.8</v>
      </c>
      <c r="C130" s="3">
        <v>325.7</v>
      </c>
      <c r="D130" s="33">
        <v>7.1999999999999995E-2</v>
      </c>
      <c r="E130" s="3">
        <f t="shared" si="14"/>
        <v>23.450399999999998</v>
      </c>
      <c r="F130" s="4">
        <f t="shared" si="15"/>
        <v>40.909999999999997</v>
      </c>
      <c r="G130" s="3">
        <f t="shared" si="12"/>
        <v>959.35586399999988</v>
      </c>
      <c r="H130" s="67">
        <f t="shared" si="13"/>
        <v>0.27881767728435242</v>
      </c>
      <c r="I130" s="35">
        <v>0.26</v>
      </c>
    </row>
    <row r="131" spans="1:9" ht="13.5" thickBot="1" x14ac:dyDescent="0.3">
      <c r="A131" s="72" t="s">
        <v>68</v>
      </c>
      <c r="B131" s="3">
        <v>3391.8</v>
      </c>
      <c r="C131" s="3">
        <v>390.7</v>
      </c>
      <c r="D131" s="33">
        <v>7.1999999999999995E-2</v>
      </c>
      <c r="E131" s="3">
        <f t="shared" si="14"/>
        <v>28.130399999999998</v>
      </c>
      <c r="F131" s="4">
        <f t="shared" si="15"/>
        <v>40.909999999999997</v>
      </c>
      <c r="G131" s="3">
        <f t="shared" si="12"/>
        <v>1150.8146639999998</v>
      </c>
      <c r="H131" s="67">
        <f t="shared" si="13"/>
        <v>0.33929319653281437</v>
      </c>
      <c r="I131" s="35">
        <v>0.32</v>
      </c>
    </row>
    <row r="132" spans="1:9" ht="13.5" thickBot="1" x14ac:dyDescent="0.3">
      <c r="A132" s="72" t="s">
        <v>69</v>
      </c>
      <c r="B132" s="3">
        <v>3431.8</v>
      </c>
      <c r="C132" s="3">
        <f>23.2+309.1</f>
        <v>332.3</v>
      </c>
      <c r="D132" s="33">
        <v>7.1999999999999995E-2</v>
      </c>
      <c r="E132" s="3">
        <f t="shared" si="14"/>
        <v>23.925599999999999</v>
      </c>
      <c r="F132" s="4">
        <f t="shared" si="15"/>
        <v>40.909999999999997</v>
      </c>
      <c r="G132" s="3">
        <f t="shared" si="12"/>
        <v>978.79629599999987</v>
      </c>
      <c r="H132" s="67">
        <f t="shared" si="13"/>
        <v>0.28521367678769155</v>
      </c>
      <c r="I132" s="35">
        <v>0.27</v>
      </c>
    </row>
    <row r="133" spans="1:9" ht="13.5" thickBot="1" x14ac:dyDescent="0.3">
      <c r="A133" s="72" t="s">
        <v>70</v>
      </c>
      <c r="B133" s="3">
        <v>944.4</v>
      </c>
      <c r="C133" s="3">
        <f>27.8+84.4</f>
        <v>112.2</v>
      </c>
      <c r="D133" s="33">
        <v>7.1999999999999995E-2</v>
      </c>
      <c r="E133" s="3">
        <f t="shared" si="14"/>
        <v>8.0784000000000002</v>
      </c>
      <c r="F133" s="4">
        <f t="shared" si="15"/>
        <v>40.909999999999997</v>
      </c>
      <c r="G133" s="3">
        <f t="shared" si="12"/>
        <v>330.48734400000001</v>
      </c>
      <c r="H133" s="67">
        <f t="shared" si="13"/>
        <v>0.34994424396442186</v>
      </c>
      <c r="I133" s="35">
        <v>0.33</v>
      </c>
    </row>
    <row r="134" spans="1:9" ht="13.5" thickBot="1" x14ac:dyDescent="0.3">
      <c r="A134" s="72" t="s">
        <v>71</v>
      </c>
      <c r="B134" s="3">
        <v>3348.35</v>
      </c>
      <c r="C134" s="3">
        <v>330.4</v>
      </c>
      <c r="D134" s="33">
        <v>6.4000000000000001E-2</v>
      </c>
      <c r="E134" s="3">
        <f t="shared" si="14"/>
        <v>21.145599999999998</v>
      </c>
      <c r="F134" s="4">
        <f t="shared" si="15"/>
        <v>40.909999999999997</v>
      </c>
      <c r="G134" s="3">
        <f t="shared" si="12"/>
        <v>865.0664959999998</v>
      </c>
      <c r="H134" s="67">
        <f t="shared" si="13"/>
        <v>0.25835605477324647</v>
      </c>
      <c r="I134" s="35">
        <v>0.24</v>
      </c>
    </row>
    <row r="135" spans="1:9" ht="13.5" thickBot="1" x14ac:dyDescent="0.3">
      <c r="A135" s="72" t="s">
        <v>72</v>
      </c>
      <c r="B135" s="3">
        <v>5267.5</v>
      </c>
      <c r="C135" s="3">
        <f>631.7+17.6+343.3</f>
        <v>992.60000000000014</v>
      </c>
      <c r="D135" s="33">
        <v>6.4000000000000001E-2</v>
      </c>
      <c r="E135" s="3">
        <f t="shared" si="14"/>
        <v>63.52640000000001</v>
      </c>
      <c r="F135" s="4">
        <f t="shared" si="15"/>
        <v>40.909999999999997</v>
      </c>
      <c r="G135" s="3">
        <f t="shared" si="12"/>
        <v>2598.8650240000002</v>
      </c>
      <c r="H135" s="67">
        <f t="shared" si="13"/>
        <v>0.49337731827242526</v>
      </c>
      <c r="I135" s="35">
        <v>0.44</v>
      </c>
    </row>
    <row r="136" spans="1:9" ht="13.5" thickBot="1" x14ac:dyDescent="0.3">
      <c r="A136" s="72" t="s">
        <v>130</v>
      </c>
      <c r="B136" s="3">
        <v>4337</v>
      </c>
      <c r="C136" s="3">
        <f>5.1+6.1+8.8+457.7</f>
        <v>477.7</v>
      </c>
      <c r="D136" s="33">
        <v>7.1999999999999995E-2</v>
      </c>
      <c r="E136" s="3">
        <f t="shared" si="14"/>
        <v>34.394399999999997</v>
      </c>
      <c r="F136" s="4">
        <f t="shared" si="15"/>
        <v>40.909999999999997</v>
      </c>
      <c r="G136" s="3">
        <f t="shared" si="12"/>
        <v>1407.0749039999998</v>
      </c>
      <c r="H136" s="67">
        <f t="shared" si="13"/>
        <v>0.324435071247406</v>
      </c>
      <c r="I136" s="35">
        <v>0.31</v>
      </c>
    </row>
    <row r="137" spans="1:9" ht="13.5" thickBot="1" x14ac:dyDescent="0.3">
      <c r="A137" s="72" t="s">
        <v>73</v>
      </c>
      <c r="B137" s="3">
        <v>3392.2</v>
      </c>
      <c r="C137" s="3">
        <v>356.7</v>
      </c>
      <c r="D137" s="33">
        <v>7.1999999999999995E-2</v>
      </c>
      <c r="E137" s="3">
        <f t="shared" si="14"/>
        <v>25.682399999999998</v>
      </c>
      <c r="F137" s="4">
        <f t="shared" si="15"/>
        <v>40.909999999999997</v>
      </c>
      <c r="G137" s="3">
        <f t="shared" si="12"/>
        <v>1050.6669839999997</v>
      </c>
      <c r="H137" s="67">
        <f t="shared" si="13"/>
        <v>0.3097302588290784</v>
      </c>
      <c r="I137" s="35">
        <v>0.28999999999999998</v>
      </c>
    </row>
    <row r="138" spans="1:9" ht="13.5" thickBot="1" x14ac:dyDescent="0.3">
      <c r="A138" s="72" t="s">
        <v>74</v>
      </c>
      <c r="B138" s="3">
        <v>3451.3</v>
      </c>
      <c r="C138" s="3">
        <v>366.7</v>
      </c>
      <c r="D138" s="33">
        <v>7.1999999999999995E-2</v>
      </c>
      <c r="E138" s="3">
        <f t="shared" si="14"/>
        <v>26.402399999999997</v>
      </c>
      <c r="F138" s="4">
        <f t="shared" si="15"/>
        <v>40.909999999999997</v>
      </c>
      <c r="G138" s="3">
        <f t="shared" si="12"/>
        <v>1080.1221839999998</v>
      </c>
      <c r="H138" s="67">
        <f t="shared" si="13"/>
        <v>0.3129609665922985</v>
      </c>
      <c r="I138" s="35">
        <v>0.28999999999999998</v>
      </c>
    </row>
    <row r="139" spans="1:9" ht="13.5" thickBot="1" x14ac:dyDescent="0.3">
      <c r="A139" s="73" t="s">
        <v>75</v>
      </c>
      <c r="B139" s="68">
        <v>3420.84</v>
      </c>
      <c r="C139" s="68">
        <v>377.8</v>
      </c>
      <c r="D139" s="71">
        <v>7.1999999999999995E-2</v>
      </c>
      <c r="E139" s="68">
        <f t="shared" si="14"/>
        <v>27.201599999999999</v>
      </c>
      <c r="F139" s="69">
        <f t="shared" si="15"/>
        <v>40.909999999999997</v>
      </c>
      <c r="G139" s="68">
        <f t="shared" si="12"/>
        <v>1112.8174559999998</v>
      </c>
      <c r="H139" s="70">
        <f t="shared" si="13"/>
        <v>0.32530532149998237</v>
      </c>
      <c r="I139" s="35">
        <v>0.28000000000000003</v>
      </c>
    </row>
  </sheetData>
  <mergeCells count="3">
    <mergeCell ref="F3:H3"/>
    <mergeCell ref="F2:H2"/>
    <mergeCell ref="F72:H72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view="pageBreakPreview" zoomScale="75" zoomScaleNormal="100" zoomScaleSheetLayoutView="75" workbookViewId="0">
      <selection activeCell="F1" sqref="F1:F2"/>
    </sheetView>
  </sheetViews>
  <sheetFormatPr defaultColWidth="8.85546875" defaultRowHeight="12.75" x14ac:dyDescent="0.2"/>
  <cols>
    <col min="1" max="1" width="3.42578125" style="41" customWidth="1"/>
    <col min="2" max="2" width="4.85546875" style="41" customWidth="1"/>
    <col min="3" max="3" width="43.7109375" style="41" customWidth="1"/>
    <col min="4" max="4" width="9" style="41" bestFit="1" customWidth="1"/>
    <col min="5" max="5" width="12.5703125" style="42" customWidth="1"/>
    <col min="6" max="16384" width="8.85546875" style="41"/>
  </cols>
  <sheetData>
    <row r="1" spans="2:9" x14ac:dyDescent="0.2">
      <c r="F1" s="43" t="s">
        <v>85</v>
      </c>
    </row>
    <row r="2" spans="2:9" ht="15" x14ac:dyDescent="0.35">
      <c r="F2" s="90" t="s">
        <v>139</v>
      </c>
    </row>
    <row r="3" spans="2:9" ht="13.5" thickBot="1" x14ac:dyDescent="0.25">
      <c r="I3" s="41" t="s">
        <v>114</v>
      </c>
    </row>
    <row r="4" spans="2:9" ht="24" customHeight="1" x14ac:dyDescent="0.2">
      <c r="B4" s="119" t="str">
        <f>CONCATENATE($I$4,$I$3)</f>
        <v>Размер платы на содержание общего имущества многоквартирного дома№ 6А ул. Мира</v>
      </c>
      <c r="C4" s="120"/>
      <c r="D4" s="120"/>
      <c r="E4" s="121"/>
      <c r="I4" s="41" t="s">
        <v>96</v>
      </c>
    </row>
    <row r="5" spans="2:9" ht="13.9" customHeight="1" x14ac:dyDescent="0.2">
      <c r="B5" s="122" t="s">
        <v>1</v>
      </c>
      <c r="C5" s="123" t="s">
        <v>87</v>
      </c>
      <c r="D5" s="124" t="s">
        <v>88</v>
      </c>
      <c r="E5" s="125" t="s">
        <v>89</v>
      </c>
      <c r="I5" s="41" t="s">
        <v>97</v>
      </c>
    </row>
    <row r="6" spans="2:9" x14ac:dyDescent="0.2">
      <c r="B6" s="122"/>
      <c r="C6" s="123"/>
      <c r="D6" s="124"/>
      <c r="E6" s="125"/>
    </row>
    <row r="7" spans="2:9" ht="41.45" customHeight="1" x14ac:dyDescent="0.2">
      <c r="B7" s="44">
        <v>1</v>
      </c>
      <c r="C7" s="45" t="str">
        <f>'ЖЭУ 3'!D5</f>
        <v xml:space="preserve">Управление  многоквартирным домом   </v>
      </c>
      <c r="D7" s="46" t="s">
        <v>90</v>
      </c>
      <c r="E7" s="47">
        <f ca="1">SUMIF('ЖЭУ 3'!$D$5:$AF$6,'Ленина 1'!$C7,'ЖЭУ 3'!$D$25:$AF$25)</f>
        <v>5.04</v>
      </c>
    </row>
    <row r="8" spans="2:9" ht="41.45" customHeight="1" x14ac:dyDescent="0.2">
      <c r="B8" s="44">
        <v>2</v>
      </c>
      <c r="C8" s="45" t="str">
        <f>'ЖЭУ 3'!E5</f>
        <v>Уборка и санитарно-гигиеническая очистка 
лестничных клеток</v>
      </c>
      <c r="D8" s="46" t="s">
        <v>90</v>
      </c>
      <c r="E8" s="47">
        <f ca="1">SUMIF('ЖЭУ 3'!$D$5:$AF$6,'Ленина 1'!$C8,'ЖЭУ 3'!$D$25:$AF$25)</f>
        <v>5.43</v>
      </c>
    </row>
    <row r="9" spans="2:9" ht="41.45" customHeight="1" x14ac:dyDescent="0.2">
      <c r="B9" s="44">
        <v>3</v>
      </c>
      <c r="C9" s="45" t="str">
        <f>'ЖЭУ 3'!F5</f>
        <v>Уборка и санитарно-гигиеническая очистка земельного участка и контейнерных площадок</v>
      </c>
      <c r="D9" s="46" t="s">
        <v>90</v>
      </c>
      <c r="E9" s="47">
        <f ca="1">SUMIF('ЖЭУ 3'!$D$5:$AF$6,'Ленина 1'!$C9,'ЖЭУ 3'!$D$25:$AF$25)</f>
        <v>6.04</v>
      </c>
    </row>
    <row r="10" spans="2:9" ht="41.45" customHeight="1" x14ac:dyDescent="0.2">
      <c r="B10" s="44">
        <v>4</v>
      </c>
      <c r="C10" s="45" t="str">
        <f>'ЖЭУ 3'!G5</f>
        <v>Содержание и техническое обслуживание конструктивных элементов</v>
      </c>
      <c r="D10" s="46" t="s">
        <v>90</v>
      </c>
      <c r="E10" s="47">
        <f ca="1">SUMIF('ЖЭУ 3'!$D$5:$AF$6,'Ленина 1'!$C10,'ЖЭУ 3'!$D$25:$AF$25)</f>
        <v>2.33</v>
      </c>
    </row>
    <row r="11" spans="2:9" ht="41.45" customHeight="1" x14ac:dyDescent="0.2">
      <c r="B11" s="44">
        <v>5</v>
      </c>
      <c r="C11" s="45" t="str">
        <f>'ЖЭУ 3'!H5</f>
        <v>Содержание и техническое обслуживание внутридомовых систем холодного и горячего водоснабжения, отопления и канализации</v>
      </c>
      <c r="D11" s="46" t="s">
        <v>90</v>
      </c>
      <c r="E11" s="47">
        <f ca="1">SUMIF('ЖЭУ 3'!$D$5:$AF$6,'Ленина 1'!$C11,'ЖЭУ 3'!$D$25:$AF$25)</f>
        <v>3.22</v>
      </c>
    </row>
    <row r="12" spans="2:9" ht="41.45" customHeight="1" x14ac:dyDescent="0.2">
      <c r="B12" s="44">
        <v>6</v>
      </c>
      <c r="C12" s="45" t="str">
        <f>'ЖЭУ 3'!I5</f>
        <v>Содержание и техническое обслуживание внутридомовых систем электроснабжения</v>
      </c>
      <c r="D12" s="46" t="s">
        <v>90</v>
      </c>
      <c r="E12" s="47">
        <f ca="1">SUMIF('ЖЭУ 3'!$D$5:$AF$6,'Ленина 1'!$C12,'ЖЭУ 3'!$D$25:$AF$25)</f>
        <v>2.59</v>
      </c>
    </row>
    <row r="13" spans="2:9" ht="41.45" customHeight="1" x14ac:dyDescent="0.2">
      <c r="B13" s="44">
        <v>7</v>
      </c>
      <c r="C13" s="45" t="str">
        <f>'ЖЭУ 3'!J5</f>
        <v>Текущий ремонт МКД</v>
      </c>
      <c r="D13" s="46" t="s">
        <v>90</v>
      </c>
      <c r="E13" s="47">
        <f ca="1">SUMIF('ЖЭУ 3'!$D$5:$AF$6,'Ленина 1'!$C13,'ЖЭУ 3'!$D$25:$AF$25)</f>
        <v>10.145</v>
      </c>
    </row>
    <row r="14" spans="2:9" ht="41.45" customHeight="1" x14ac:dyDescent="0.2">
      <c r="B14" s="44">
        <v>8</v>
      </c>
      <c r="C14" s="45" t="str">
        <f>'ЖЭУ 3'!P5</f>
        <v>Дератизация, дезинсекция помещений</v>
      </c>
      <c r="D14" s="46" t="s">
        <v>90</v>
      </c>
      <c r="E14" s="47">
        <f ca="1">SUMIF('ЖЭУ 3'!$D$5:$AF$6,'Ленина 1'!$C14,'ЖЭУ 3'!$D$25:$AF$25)</f>
        <v>0.11</v>
      </c>
    </row>
    <row r="15" spans="2:9" ht="41.45" customHeight="1" x14ac:dyDescent="0.2">
      <c r="B15" s="44">
        <v>9</v>
      </c>
      <c r="C15" s="45" t="str">
        <f>'ЖЭУ 3'!Q5</f>
        <v>Благоустройство придомовой территории</v>
      </c>
      <c r="D15" s="46" t="s">
        <v>90</v>
      </c>
      <c r="E15" s="47">
        <f ca="1">SUMIF('ЖЭУ 3'!$D$5:$AF$6,'Ленина 1'!$C15,'ЖЭУ 3'!$D$25:$AF$25)</f>
        <v>0.37</v>
      </c>
    </row>
    <row r="16" spans="2:9" ht="41.45" customHeight="1" x14ac:dyDescent="0.2">
      <c r="B16" s="44">
        <v>10</v>
      </c>
      <c r="C16" s="45" t="str">
        <f>'ЖЭУ 3'!R5</f>
        <v>Сбор и вывоз твердых коммунальных отходов</v>
      </c>
      <c r="D16" s="46" t="s">
        <v>90</v>
      </c>
      <c r="E16" s="47">
        <f ca="1">SUMIF('ЖЭУ 3'!$D$5:$AF$6,'Ленина 1'!$C16,'ЖЭУ 3'!$D$25:$AF$25)</f>
        <v>1.4</v>
      </c>
    </row>
    <row r="17" spans="2:8" ht="41.45" customHeight="1" x14ac:dyDescent="0.2">
      <c r="B17" s="44">
        <v>11</v>
      </c>
      <c r="C17" s="45" t="str">
        <f>'ЖЭУ 3'!S5</f>
        <v>Механизированная уборка территорий от снега</v>
      </c>
      <c r="D17" s="46" t="s">
        <v>90</v>
      </c>
      <c r="E17" s="47">
        <f ca="1">SUMIF('ЖЭУ 3'!$D$5:$AF$6,'Ленина 1'!$C17,'ЖЭУ 3'!$D$25:$AF$25)</f>
        <v>0.45</v>
      </c>
    </row>
    <row r="18" spans="2:8" ht="41.45" customHeight="1" x14ac:dyDescent="0.2">
      <c r="B18" s="44">
        <v>12</v>
      </c>
      <c r="C18" s="45" t="str">
        <f>'ЖЭУ 3'!T5</f>
        <v>Содержание, техническое обслуживание КОДПУ тепловой энергии на отопление</v>
      </c>
      <c r="D18" s="46" t="s">
        <v>90</v>
      </c>
      <c r="E18" s="47">
        <f ca="1">SUMIF('ЖЭУ 3'!$D$5:$AF$6,'Ленина 1'!$C18,'ЖЭУ 3'!$D$25:$AF$25)</f>
        <v>0.53</v>
      </c>
    </row>
    <row r="19" spans="2:8" ht="41.45" customHeight="1" x14ac:dyDescent="0.2">
      <c r="B19" s="44">
        <v>13</v>
      </c>
      <c r="C19" s="45" t="str">
        <f>'ЖЭУ 3'!U5</f>
        <v>Содержание, техническое обслуживание КОДПУ горячего водоснабжения</v>
      </c>
      <c r="D19" s="46" t="s">
        <v>90</v>
      </c>
      <c r="E19" s="47">
        <f ca="1">SUMIF('ЖЭУ 3'!$D$5:$AF$6,'Ленина 1'!$C19,'ЖЭУ 3'!$D$25:$AF$25)</f>
        <v>0</v>
      </c>
    </row>
    <row r="20" spans="2:8" ht="41.45" customHeight="1" x14ac:dyDescent="0.2">
      <c r="B20" s="44">
        <v>14</v>
      </c>
      <c r="C20" s="45" t="str">
        <f>'ЖЭУ 3'!V5</f>
        <v>Содержание, техническое обслуживание КОДПУ холодного водоснабжения</v>
      </c>
      <c r="D20" s="46" t="s">
        <v>90</v>
      </c>
      <c r="E20" s="47">
        <f ca="1">SUMIF('ЖЭУ 3'!$D$5:$AF$6,'Ленина 1'!$C20,'ЖЭУ 3'!$D$25:$AF$25)</f>
        <v>0.38</v>
      </c>
    </row>
    <row r="21" spans="2:8" ht="41.45" customHeight="1" x14ac:dyDescent="0.2">
      <c r="B21" s="44">
        <v>15</v>
      </c>
      <c r="C21" s="45" t="str">
        <f>'ЖЭУ 3'!W5</f>
        <v>Поверка, замена вышедшего из строя оборудования коллективног ОПУ тепловой энергии на отопление</v>
      </c>
      <c r="D21" s="46" t="s">
        <v>90</v>
      </c>
      <c r="E21" s="47">
        <f ca="1">SUMIF('ЖЭУ 3'!$D$5:$AF$6,'Ленина 1'!$C21,'ЖЭУ 3'!$D$25:$AF$25)</f>
        <v>0.36</v>
      </c>
    </row>
    <row r="22" spans="2:8" ht="41.45" customHeight="1" x14ac:dyDescent="0.2">
      <c r="B22" s="44">
        <v>16</v>
      </c>
      <c r="C22" s="45" t="str">
        <f>'ЖЭУ 3'!X5</f>
        <v>Поверка, замена вышедшего из строя оборудования коллективног ОПУ горячего водоснабжения</v>
      </c>
      <c r="D22" s="46" t="s">
        <v>90</v>
      </c>
      <c r="E22" s="47">
        <f ca="1">SUMIF('ЖЭУ 3'!$D$5:$AF$6,'Ленина 1'!$C22,'ЖЭУ 3'!$D$25:$AF$25)</f>
        <v>0</v>
      </c>
      <c r="G22" s="52">
        <f ca="1">SUM(E7:E25)</f>
        <v>38.934999999999995</v>
      </c>
      <c r="H22" s="52">
        <f ca="1">G22-'ЖЭУ 3'!AK25</f>
        <v>0</v>
      </c>
    </row>
    <row r="23" spans="2:8" ht="33" customHeight="1" x14ac:dyDescent="0.2">
      <c r="B23" s="44">
        <v>17</v>
      </c>
      <c r="C23" s="45" t="str">
        <f>'ЖЭУ 3'!Y5</f>
        <v>Поверка, замена вышедшего из строя оборудования коллективног ОПУ холодного водоснабжения</v>
      </c>
      <c r="D23" s="46" t="s">
        <v>90</v>
      </c>
      <c r="E23" s="47">
        <f ca="1">SUMIF('ЖЭУ 3'!$D$5:$AF$6,'Ленина 1'!$C23,'ЖЭУ 3'!$D$25:$AF$25)</f>
        <v>0.15</v>
      </c>
    </row>
    <row r="24" spans="2:8" ht="43.15" customHeight="1" x14ac:dyDescent="0.2">
      <c r="B24" s="44">
        <v>18</v>
      </c>
      <c r="C24" s="45" t="str">
        <f>'ЖЭУ 3'!Z5</f>
        <v>Поверка, замена вышедшего из строя оборудования коллективног ОПУ электрической энергии</v>
      </c>
      <c r="D24" s="46" t="s">
        <v>90</v>
      </c>
      <c r="E24" s="47">
        <f ca="1">SUMIF('ЖЭУ 3'!$D$5:$AF$6,'Ленина 1'!$C24,'ЖЭУ 3'!$D$25:$AF$25)</f>
        <v>0.39</v>
      </c>
    </row>
    <row r="25" spans="2:8" ht="31.9" customHeight="1" thickBot="1" x14ac:dyDescent="0.25">
      <c r="B25" s="48">
        <v>19</v>
      </c>
      <c r="C25" s="49" t="str">
        <f>'ЖЭУ 3'!AA5</f>
        <v>Техническое обслуживание систем аудидомофонной связи</v>
      </c>
      <c r="D25" s="50" t="s">
        <v>90</v>
      </c>
      <c r="E25" s="51">
        <f ca="1">SUMIF('ЖЭУ 3'!$D$5:$AF$6,'Ленина 1'!$C25,'ЖЭУ 3'!$D$25:$AF$25)</f>
        <v>0</v>
      </c>
    </row>
    <row r="26" spans="2:8" ht="11.45" customHeight="1" thickBot="1" x14ac:dyDescent="0.25">
      <c r="B26" s="116" t="s">
        <v>91</v>
      </c>
      <c r="C26" s="116"/>
    </row>
    <row r="27" spans="2:8" ht="25.15" customHeight="1" x14ac:dyDescent="0.2">
      <c r="B27" s="113" t="str">
        <f>CONCATENATE($I$5,$I$3)</f>
        <v>Расходы по коммунальным услугам, потребленным на содержание общего иммущества многоквартирного дома№ 6А ул. Мира</v>
      </c>
      <c r="C27" s="114"/>
      <c r="D27" s="114"/>
      <c r="E27" s="115"/>
    </row>
    <row r="28" spans="2:8" ht="25.15" customHeight="1" x14ac:dyDescent="0.2">
      <c r="B28" s="44">
        <v>1</v>
      </c>
      <c r="C28" s="45" t="str">
        <f>'ЖЭУ 3'!AB5</f>
        <v>Электрическая энергия, потребляемая при содержании общего имущества в МКД</v>
      </c>
      <c r="D28" s="46" t="s">
        <v>90</v>
      </c>
      <c r="E28" s="47">
        <f ca="1">SUMIF('ЖЭУ 3'!$D$5:$AF$6,'Ленина 1'!$C28,'ЖЭУ 3'!$D$25:$AF$25)</f>
        <v>1.0830432913724286</v>
      </c>
      <c r="G28" s="52"/>
    </row>
    <row r="29" spans="2:8" ht="25.15" customHeight="1" x14ac:dyDescent="0.2">
      <c r="B29" s="44">
        <v>2</v>
      </c>
      <c r="C29" s="45" t="str">
        <f>'ЖЭУ 3'!AC5</f>
        <v>Холодная вода, потребляемая при содержании общего имущества в МКД</v>
      </c>
      <c r="D29" s="46" t="s">
        <v>90</v>
      </c>
      <c r="E29" s="47">
        <f ca="1">SUMIF('ЖЭУ 3'!$D$5:$AF$6,'Ленина 1'!$C29,'ЖЭУ 3'!$D$25:$AF$25)</f>
        <v>0.17811508996008593</v>
      </c>
      <c r="G29" s="52">
        <f ca="1">SUM(E28:E32)</f>
        <v>2.1971439459625417</v>
      </c>
      <c r="H29" s="52">
        <f ca="1">G29-'ЖЭУ 3'!AJ25</f>
        <v>0</v>
      </c>
    </row>
    <row r="30" spans="2:8" ht="27.6" customHeight="1" x14ac:dyDescent="0.2">
      <c r="B30" s="44">
        <v>3</v>
      </c>
      <c r="C30" s="45" t="str">
        <f>'ЖЭУ 3'!AD5</f>
        <v>Холодная вода в составе горячей на содержание общего имущества МКД</v>
      </c>
      <c r="D30" s="46" t="s">
        <v>90</v>
      </c>
      <c r="E30" s="47">
        <f ca="1">SUMIF('ЖЭУ 3'!$D$5:$AF$6,'Ленина 1'!$C30,'ЖЭУ 3'!$D$25:$AF$25)</f>
        <v>0.59259780165796727</v>
      </c>
    </row>
    <row r="31" spans="2:8" ht="27.6" customHeight="1" x14ac:dyDescent="0.2">
      <c r="B31" s="44">
        <v>4</v>
      </c>
      <c r="C31" s="45" t="str">
        <f>'ЖЭУ 3'!AE5</f>
        <v>Горячая вода, потребляемая при содержании общего имущества в МКД</v>
      </c>
      <c r="D31" s="46" t="s">
        <v>90</v>
      </c>
      <c r="E31" s="47">
        <f ca="1">SUMIF('ЖЭУ 3'!$D$5:$AF$6,'Ленина 1'!$C31,'ЖЭУ 3'!$D$25:$AF$25)</f>
        <v>0</v>
      </c>
    </row>
    <row r="32" spans="2:8" ht="27.6" customHeight="1" thickBot="1" x14ac:dyDescent="0.25">
      <c r="B32" s="48">
        <v>5</v>
      </c>
      <c r="C32" s="49" t="str">
        <f>'ЖЭУ 3'!AF5</f>
        <v>Водоотведение при содержании общего имущества в МКД</v>
      </c>
      <c r="D32" s="50" t="s">
        <v>90</v>
      </c>
      <c r="E32" s="51">
        <f ca="1">SUMIF('ЖЭУ 3'!$D$5:$AF$6,'Ленина 1'!$C32,'ЖЭУ 3'!$D$25:$AF$25)</f>
        <v>0.34338776297206008</v>
      </c>
    </row>
    <row r="33" spans="2:8" ht="11.45" customHeight="1" x14ac:dyDescent="0.2">
      <c r="B33" s="53"/>
      <c r="C33" s="59"/>
      <c r="D33" s="55"/>
      <c r="E33" s="56"/>
    </row>
    <row r="34" spans="2:8" ht="21.6" customHeight="1" x14ac:dyDescent="0.2">
      <c r="B34" s="116" t="s">
        <v>92</v>
      </c>
      <c r="C34" s="116"/>
      <c r="D34" s="116"/>
      <c r="E34" s="116"/>
      <c r="G34" s="58"/>
    </row>
    <row r="35" spans="2:8" ht="15" customHeight="1" x14ac:dyDescent="0.2">
      <c r="B35" s="116"/>
      <c r="C35" s="116"/>
      <c r="D35" s="116"/>
      <c r="E35" s="116"/>
      <c r="H35" s="52"/>
    </row>
    <row r="36" spans="2:8" x14ac:dyDescent="0.2">
      <c r="B36" s="57"/>
      <c r="C36" s="59"/>
      <c r="D36" s="55"/>
      <c r="E36" s="56"/>
      <c r="G36" s="60"/>
      <c r="H36" s="61"/>
    </row>
    <row r="37" spans="2:8" x14ac:dyDescent="0.2">
      <c r="B37" s="117"/>
      <c r="C37" s="117"/>
      <c r="G37" s="60"/>
      <c r="H37" s="62"/>
    </row>
    <row r="38" spans="2:8" x14ac:dyDescent="0.2">
      <c r="B38" s="118" t="s">
        <v>93</v>
      </c>
      <c r="C38" s="118"/>
      <c r="E38" s="42" t="s">
        <v>94</v>
      </c>
      <c r="H38" s="63"/>
    </row>
  </sheetData>
  <mergeCells count="10">
    <mergeCell ref="B27:E27"/>
    <mergeCell ref="B34:E35"/>
    <mergeCell ref="B37:C37"/>
    <mergeCell ref="B38:C38"/>
    <mergeCell ref="B4:E4"/>
    <mergeCell ref="B5:B6"/>
    <mergeCell ref="C5:C6"/>
    <mergeCell ref="D5:D6"/>
    <mergeCell ref="E5:E6"/>
    <mergeCell ref="B26:C26"/>
  </mergeCells>
  <pageMargins left="0.7" right="0.7" top="0.75" bottom="0.75" header="0.3" footer="0.3"/>
  <pageSetup paperSize="9" scale="6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view="pageBreakPreview" zoomScale="75" zoomScaleNormal="100" zoomScaleSheetLayoutView="75" workbookViewId="0">
      <selection activeCell="F1" sqref="F1:F2"/>
    </sheetView>
  </sheetViews>
  <sheetFormatPr defaultColWidth="8.85546875" defaultRowHeight="12.75" x14ac:dyDescent="0.2"/>
  <cols>
    <col min="1" max="1" width="3.42578125" style="41" customWidth="1"/>
    <col min="2" max="2" width="4.85546875" style="41" customWidth="1"/>
    <col min="3" max="3" width="43.7109375" style="41" customWidth="1"/>
    <col min="4" max="4" width="9" style="41" bestFit="1" customWidth="1"/>
    <col min="5" max="5" width="12.5703125" style="42" customWidth="1"/>
    <col min="6" max="16384" width="8.85546875" style="41"/>
  </cols>
  <sheetData>
    <row r="1" spans="2:9" x14ac:dyDescent="0.2">
      <c r="F1" s="43" t="s">
        <v>85</v>
      </c>
    </row>
    <row r="2" spans="2:9" ht="15" x14ac:dyDescent="0.35">
      <c r="F2" s="90" t="s">
        <v>139</v>
      </c>
    </row>
    <row r="3" spans="2:9" ht="13.5" thickBot="1" x14ac:dyDescent="0.25">
      <c r="I3" s="41" t="s">
        <v>115</v>
      </c>
    </row>
    <row r="4" spans="2:9" ht="24" customHeight="1" x14ac:dyDescent="0.2">
      <c r="B4" s="119" t="str">
        <f>CONCATENATE($I$4,$I$3)</f>
        <v>Размер платы на содержание общего имущества многоквартирного дома№ 8 ул. Мира</v>
      </c>
      <c r="C4" s="120"/>
      <c r="D4" s="120"/>
      <c r="E4" s="121"/>
      <c r="I4" s="41" t="s">
        <v>96</v>
      </c>
    </row>
    <row r="5" spans="2:9" ht="13.9" customHeight="1" x14ac:dyDescent="0.2">
      <c r="B5" s="122" t="s">
        <v>1</v>
      </c>
      <c r="C5" s="123" t="s">
        <v>87</v>
      </c>
      <c r="D5" s="124" t="s">
        <v>88</v>
      </c>
      <c r="E5" s="125" t="s">
        <v>89</v>
      </c>
      <c r="I5" s="41" t="s">
        <v>97</v>
      </c>
    </row>
    <row r="6" spans="2:9" x14ac:dyDescent="0.2">
      <c r="B6" s="122"/>
      <c r="C6" s="123"/>
      <c r="D6" s="124"/>
      <c r="E6" s="125"/>
    </row>
    <row r="7" spans="2:9" ht="41.45" customHeight="1" x14ac:dyDescent="0.2">
      <c r="B7" s="44">
        <v>1</v>
      </c>
      <c r="C7" s="45" t="str">
        <f>'ЖЭУ 3'!D5</f>
        <v xml:space="preserve">Управление  многоквартирным домом   </v>
      </c>
      <c r="D7" s="46" t="s">
        <v>90</v>
      </c>
      <c r="E7" s="47">
        <f ca="1">SUMIF('ЖЭУ 3'!$D$5:$AF$6,'Ленина 1'!$C7,'ЖЭУ 3'!$D$26:$AF$26)</f>
        <v>5.04</v>
      </c>
    </row>
    <row r="8" spans="2:9" ht="41.45" customHeight="1" x14ac:dyDescent="0.2">
      <c r="B8" s="44">
        <v>2</v>
      </c>
      <c r="C8" s="45" t="str">
        <f>'ЖЭУ 3'!E5</f>
        <v>Уборка и санитарно-гигиеническая очистка 
лестничных клеток</v>
      </c>
      <c r="D8" s="46" t="s">
        <v>90</v>
      </c>
      <c r="E8" s="47">
        <f ca="1">SUMIF('ЖЭУ 3'!$D$5:$AF$6,'Ленина 1'!$C8,'ЖЭУ 3'!$D$26:$AF$26)</f>
        <v>5.87</v>
      </c>
    </row>
    <row r="9" spans="2:9" ht="41.45" customHeight="1" x14ac:dyDescent="0.2">
      <c r="B9" s="44">
        <v>3</v>
      </c>
      <c r="C9" s="45" t="str">
        <f>'ЖЭУ 3'!F5</f>
        <v>Уборка и санитарно-гигиеническая очистка земельного участка и контейнерных площадок</v>
      </c>
      <c r="D9" s="46" t="s">
        <v>90</v>
      </c>
      <c r="E9" s="47">
        <f ca="1">SUMIF('ЖЭУ 3'!$D$5:$AF$6,'Ленина 1'!$C9,'ЖЭУ 3'!$D$26:$AF$26)</f>
        <v>4.0199999999999996</v>
      </c>
    </row>
    <row r="10" spans="2:9" ht="41.45" customHeight="1" x14ac:dyDescent="0.2">
      <c r="B10" s="44">
        <v>4</v>
      </c>
      <c r="C10" s="45" t="str">
        <f>'ЖЭУ 3'!G5</f>
        <v>Содержание и техническое обслуживание конструктивных элементов</v>
      </c>
      <c r="D10" s="46" t="s">
        <v>90</v>
      </c>
      <c r="E10" s="47">
        <f ca="1">SUMIF('ЖЭУ 3'!$D$5:$AF$6,'Ленина 1'!$C10,'ЖЭУ 3'!$D$26:$AF$26)</f>
        <v>2.2799999999999998</v>
      </c>
    </row>
    <row r="11" spans="2:9" ht="41.45" customHeight="1" x14ac:dyDescent="0.2">
      <c r="B11" s="44">
        <v>5</v>
      </c>
      <c r="C11" s="45" t="str">
        <f>'ЖЭУ 3'!H5</f>
        <v>Содержание и техническое обслуживание внутридомовых систем холодного и горячего водоснабжения, отопления и канализации</v>
      </c>
      <c r="D11" s="46" t="s">
        <v>90</v>
      </c>
      <c r="E11" s="47">
        <f ca="1">SUMIF('ЖЭУ 3'!$D$5:$AF$6,'Ленина 1'!$C11,'ЖЭУ 3'!$D$26:$AF$26)</f>
        <v>3.19</v>
      </c>
    </row>
    <row r="12" spans="2:9" ht="41.45" customHeight="1" x14ac:dyDescent="0.2">
      <c r="B12" s="44">
        <v>6</v>
      </c>
      <c r="C12" s="45" t="str">
        <f>'ЖЭУ 3'!I5</f>
        <v>Содержание и техническое обслуживание внутридомовых систем электроснабжения</v>
      </c>
      <c r="D12" s="46" t="s">
        <v>90</v>
      </c>
      <c r="E12" s="47">
        <f ca="1">SUMIF('ЖЭУ 3'!$D$5:$AF$6,'Ленина 1'!$C12,'ЖЭУ 3'!$D$26:$AF$26)</f>
        <v>2.96</v>
      </c>
    </row>
    <row r="13" spans="2:9" ht="41.45" customHeight="1" x14ac:dyDescent="0.2">
      <c r="B13" s="44">
        <v>7</v>
      </c>
      <c r="C13" s="45" t="str">
        <f>'ЖЭУ 3'!J5</f>
        <v>Текущий ремонт МКД</v>
      </c>
      <c r="D13" s="46" t="s">
        <v>90</v>
      </c>
      <c r="E13" s="47">
        <f ca="1">SUMIF('ЖЭУ 3'!$D$5:$AF$6,'Ленина 1'!$C13,'ЖЭУ 3'!$D$26:$AF$26)</f>
        <v>11.980000000000002</v>
      </c>
    </row>
    <row r="14" spans="2:9" ht="41.45" customHeight="1" x14ac:dyDescent="0.2">
      <c r="B14" s="44">
        <v>8</v>
      </c>
      <c r="C14" s="45" t="str">
        <f>'ЖЭУ 3'!P5</f>
        <v>Дератизация, дезинсекция помещений</v>
      </c>
      <c r="D14" s="46" t="s">
        <v>90</v>
      </c>
      <c r="E14" s="47">
        <f ca="1">SUMIF('ЖЭУ 3'!$D$5:$AF$6,'Ленина 1'!$C14,'ЖЭУ 3'!$D$26:$AF$26)</f>
        <v>0.1</v>
      </c>
    </row>
    <row r="15" spans="2:9" ht="41.45" customHeight="1" x14ac:dyDescent="0.2">
      <c r="B15" s="44">
        <v>9</v>
      </c>
      <c r="C15" s="45" t="str">
        <f>'ЖЭУ 3'!Q5</f>
        <v>Благоустройство придомовой территории</v>
      </c>
      <c r="D15" s="46" t="s">
        <v>90</v>
      </c>
      <c r="E15" s="47">
        <f ca="1">SUMIF('ЖЭУ 3'!$D$5:$AF$6,'Ленина 1'!$C15,'ЖЭУ 3'!$D$26:$AF$26)</f>
        <v>0.37</v>
      </c>
    </row>
    <row r="16" spans="2:9" ht="41.45" customHeight="1" x14ac:dyDescent="0.2">
      <c r="B16" s="44">
        <v>10</v>
      </c>
      <c r="C16" s="45" t="str">
        <f>'ЖЭУ 3'!R5</f>
        <v>Сбор и вывоз твердых коммунальных отходов</v>
      </c>
      <c r="D16" s="46" t="s">
        <v>90</v>
      </c>
      <c r="E16" s="47">
        <f ca="1">SUMIF('ЖЭУ 3'!$D$5:$AF$6,'Ленина 1'!$C16,'ЖЭУ 3'!$D$26:$AF$26)</f>
        <v>1.38</v>
      </c>
    </row>
    <row r="17" spans="2:8" ht="41.45" customHeight="1" x14ac:dyDescent="0.2">
      <c r="B17" s="44">
        <v>11</v>
      </c>
      <c r="C17" s="45" t="str">
        <f>'ЖЭУ 3'!S5</f>
        <v>Механизированная уборка территорий от снега</v>
      </c>
      <c r="D17" s="46" t="s">
        <v>90</v>
      </c>
      <c r="E17" s="47">
        <f ca="1">SUMIF('ЖЭУ 3'!$D$5:$AF$6,'Ленина 1'!$C17,'ЖЭУ 3'!$D$26:$AF$26)</f>
        <v>0.49</v>
      </c>
    </row>
    <row r="18" spans="2:8" ht="41.45" customHeight="1" x14ac:dyDescent="0.2">
      <c r="B18" s="44">
        <v>12</v>
      </c>
      <c r="C18" s="45" t="str">
        <f>'ЖЭУ 3'!T5</f>
        <v>Содержание, техническое обслуживание КОДПУ тепловой энергии на отопление</v>
      </c>
      <c r="D18" s="46" t="s">
        <v>90</v>
      </c>
      <c r="E18" s="47">
        <f ca="1">SUMIF('ЖЭУ 3'!$D$5:$AF$6,'Ленина 1'!$C18,'ЖЭУ 3'!$D$26:$AF$26)</f>
        <v>0.37</v>
      </c>
    </row>
    <row r="19" spans="2:8" ht="41.45" customHeight="1" x14ac:dyDescent="0.2">
      <c r="B19" s="44">
        <v>13</v>
      </c>
      <c r="C19" s="45" t="str">
        <f>'ЖЭУ 3'!U5</f>
        <v>Содержание, техническое обслуживание КОДПУ горячего водоснабжения</v>
      </c>
      <c r="D19" s="46" t="s">
        <v>90</v>
      </c>
      <c r="E19" s="47">
        <f ca="1">SUMIF('ЖЭУ 3'!$D$5:$AF$6,'Ленина 1'!$C19,'ЖЭУ 3'!$D$26:$AF$26)</f>
        <v>0</v>
      </c>
    </row>
    <row r="20" spans="2:8" ht="41.45" customHeight="1" x14ac:dyDescent="0.2">
      <c r="B20" s="44">
        <v>14</v>
      </c>
      <c r="C20" s="45" t="str">
        <f>'ЖЭУ 3'!V5</f>
        <v>Содержание, техническое обслуживание КОДПУ холодного водоснабжения</v>
      </c>
      <c r="D20" s="46" t="s">
        <v>90</v>
      </c>
      <c r="E20" s="47">
        <f ca="1">SUMIF('ЖЭУ 3'!$D$5:$AF$6,'Ленина 1'!$C20,'ЖЭУ 3'!$D$26:$AF$26)</f>
        <v>0.26</v>
      </c>
    </row>
    <row r="21" spans="2:8" ht="41.45" customHeight="1" x14ac:dyDescent="0.2">
      <c r="B21" s="44">
        <v>15</v>
      </c>
      <c r="C21" s="45" t="str">
        <f>'ЖЭУ 3'!W5</f>
        <v>Поверка, замена вышедшего из строя оборудования коллективног ОПУ тепловой энергии на отопление</v>
      </c>
      <c r="D21" s="46" t="s">
        <v>90</v>
      </c>
      <c r="E21" s="47">
        <f ca="1">SUMIF('ЖЭУ 3'!$D$5:$AF$6,'Ленина 1'!$C21,'ЖЭУ 3'!$D$26:$AF$26)</f>
        <v>0.26</v>
      </c>
    </row>
    <row r="22" spans="2:8" ht="41.45" customHeight="1" x14ac:dyDescent="0.2">
      <c r="B22" s="44">
        <v>16</v>
      </c>
      <c r="C22" s="45" t="str">
        <f>'ЖЭУ 3'!X5</f>
        <v>Поверка, замена вышедшего из строя оборудования коллективног ОПУ горячего водоснабжения</v>
      </c>
      <c r="D22" s="46" t="s">
        <v>90</v>
      </c>
      <c r="E22" s="47">
        <f ca="1">SUMIF('ЖЭУ 3'!$D$5:$AF$6,'Ленина 1'!$C22,'ЖЭУ 3'!$D$26:$AF$26)</f>
        <v>0</v>
      </c>
      <c r="G22" s="52">
        <f ca="1">SUM(E7:E25)</f>
        <v>38.950000000000003</v>
      </c>
      <c r="H22" s="52">
        <f ca="1">G22-'ЖЭУ 3'!AK26</f>
        <v>0</v>
      </c>
    </row>
    <row r="23" spans="2:8" ht="33" customHeight="1" x14ac:dyDescent="0.2">
      <c r="B23" s="44">
        <v>17</v>
      </c>
      <c r="C23" s="45" t="str">
        <f>'ЖЭУ 3'!Y5</f>
        <v>Поверка, замена вышедшего из строя оборудования коллективног ОПУ холодного водоснабжения</v>
      </c>
      <c r="D23" s="46" t="s">
        <v>90</v>
      </c>
      <c r="E23" s="47">
        <f ca="1">SUMIF('ЖЭУ 3'!$D$5:$AF$6,'Ленина 1'!$C23,'ЖЭУ 3'!$D$26:$AF$26)</f>
        <v>0.11</v>
      </c>
    </row>
    <row r="24" spans="2:8" ht="43.15" customHeight="1" x14ac:dyDescent="0.2">
      <c r="B24" s="44">
        <v>18</v>
      </c>
      <c r="C24" s="45" t="str">
        <f>'ЖЭУ 3'!Z5</f>
        <v>Поверка, замена вышедшего из строя оборудования коллективног ОПУ электрической энергии</v>
      </c>
      <c r="D24" s="46" t="s">
        <v>90</v>
      </c>
      <c r="E24" s="47">
        <f ca="1">SUMIF('ЖЭУ 3'!$D$5:$AF$6,'Ленина 1'!$C24,'ЖЭУ 3'!$D$26:$AF$26)</f>
        <v>0.27</v>
      </c>
    </row>
    <row r="25" spans="2:8" ht="31.9" customHeight="1" thickBot="1" x14ac:dyDescent="0.25">
      <c r="B25" s="48">
        <v>19</v>
      </c>
      <c r="C25" s="49" t="str">
        <f>'ЖЭУ 3'!AA5</f>
        <v>Техническое обслуживание систем аудидомофонной связи</v>
      </c>
      <c r="D25" s="50" t="s">
        <v>90</v>
      </c>
      <c r="E25" s="51">
        <f ca="1">SUMIF('ЖЭУ 3'!$D$5:$AF$6,'Ленина 1'!$C25,'ЖЭУ 3'!$D$26:$AF$26)</f>
        <v>0</v>
      </c>
    </row>
    <row r="26" spans="2:8" ht="11.45" customHeight="1" thickBot="1" x14ac:dyDescent="0.25">
      <c r="B26" s="116" t="s">
        <v>91</v>
      </c>
      <c r="C26" s="116"/>
    </row>
    <row r="27" spans="2:8" ht="25.15" customHeight="1" x14ac:dyDescent="0.2">
      <c r="B27" s="113" t="str">
        <f>CONCATENATE($I$5,$I$3)</f>
        <v>Расходы по коммунальным услугам, потребленным на содержание общего иммущества многоквартирного дома№ 8 ул. Мира</v>
      </c>
      <c r="C27" s="114"/>
      <c r="D27" s="114"/>
      <c r="E27" s="115"/>
    </row>
    <row r="28" spans="2:8" ht="25.15" customHeight="1" x14ac:dyDescent="0.2">
      <c r="B28" s="44">
        <v>1</v>
      </c>
      <c r="C28" s="45" t="str">
        <f>'ЖЭУ 3'!AB5</f>
        <v>Электрическая энергия, потребляемая при содержании общего имущества в МКД</v>
      </c>
      <c r="D28" s="46" t="s">
        <v>90</v>
      </c>
      <c r="E28" s="47">
        <f ca="1">SUMIF('ЖЭУ 3'!$D$5:$AF$6,'Ленина 1'!$C28,'ЖЭУ 3'!$D$26:$AF$26)</f>
        <v>1.0579430674315404</v>
      </c>
      <c r="G28" s="52"/>
    </row>
    <row r="29" spans="2:8" ht="25.15" customHeight="1" x14ac:dyDescent="0.2">
      <c r="B29" s="44">
        <v>2</v>
      </c>
      <c r="C29" s="45" t="str">
        <f>'ЖЭУ 3'!AC5</f>
        <v>Холодная вода, потребляемая при содержании общего имущества в МКД</v>
      </c>
      <c r="D29" s="46" t="s">
        <v>90</v>
      </c>
      <c r="E29" s="47">
        <f ca="1">SUMIF('ЖЭУ 3'!$D$5:$AF$6,'Ленина 1'!$C29,'ЖЭУ 3'!$D$26:$AF$26)</f>
        <v>0.18686645740881044</v>
      </c>
      <c r="G29" s="52">
        <f ca="1">SUM(E28:E32)</f>
        <v>2.2267830717610133</v>
      </c>
      <c r="H29" s="52">
        <f ca="1">G29-'ЖЭУ 3'!AJ26</f>
        <v>0</v>
      </c>
    </row>
    <row r="30" spans="2:8" ht="27.6" customHeight="1" x14ac:dyDescent="0.2">
      <c r="B30" s="44">
        <v>3</v>
      </c>
      <c r="C30" s="45" t="str">
        <f>'ЖЭУ 3'!AD5</f>
        <v>Холодная вода в составе горячей на содержание общего имущества МКД</v>
      </c>
      <c r="D30" s="46" t="s">
        <v>90</v>
      </c>
      <c r="E30" s="47">
        <f ca="1">SUMIF('ЖЭУ 3'!$D$5:$AF$6,'Ленина 1'!$C30,'ЖЭУ 3'!$D$26:$AF$26)</f>
        <v>0.62171403831583505</v>
      </c>
    </row>
    <row r="31" spans="2:8" ht="27.6" customHeight="1" x14ac:dyDescent="0.2">
      <c r="B31" s="44">
        <v>4</v>
      </c>
      <c r="C31" s="45" t="str">
        <f>'ЖЭУ 3'!AE5</f>
        <v>Горячая вода, потребляемая при содержании общего имущества в МКД</v>
      </c>
      <c r="D31" s="46" t="s">
        <v>90</v>
      </c>
      <c r="E31" s="47">
        <f ca="1">SUMIF('ЖЭУ 3'!$D$5:$AF$6,'Ленина 1'!$C31,'ЖЭУ 3'!$D$26:$AF$26)</f>
        <v>0</v>
      </c>
    </row>
    <row r="32" spans="2:8" ht="27.6" customHeight="1" thickBot="1" x14ac:dyDescent="0.25">
      <c r="B32" s="48">
        <v>5</v>
      </c>
      <c r="C32" s="49" t="str">
        <f>'ЖЭУ 3'!AF5</f>
        <v>Водоотведение при содержании общего имущества в МКД</v>
      </c>
      <c r="D32" s="50" t="s">
        <v>90</v>
      </c>
      <c r="E32" s="51">
        <f ca="1">SUMIF('ЖЭУ 3'!$D$5:$AF$6,'Ленина 1'!$C32,'ЖЭУ 3'!$D$26:$AF$26)</f>
        <v>0.36025950860482736</v>
      </c>
    </row>
    <row r="33" spans="2:8" ht="11.45" customHeight="1" x14ac:dyDescent="0.2">
      <c r="B33" s="53"/>
      <c r="C33" s="59"/>
      <c r="D33" s="55"/>
      <c r="E33" s="56"/>
    </row>
    <row r="34" spans="2:8" ht="21.6" customHeight="1" x14ac:dyDescent="0.2">
      <c r="B34" s="116" t="s">
        <v>92</v>
      </c>
      <c r="C34" s="116"/>
      <c r="D34" s="116"/>
      <c r="E34" s="116"/>
      <c r="G34" s="58"/>
    </row>
    <row r="35" spans="2:8" ht="15" customHeight="1" x14ac:dyDescent="0.2">
      <c r="B35" s="116"/>
      <c r="C35" s="116"/>
      <c r="D35" s="116"/>
      <c r="E35" s="116"/>
      <c r="H35" s="52"/>
    </row>
    <row r="36" spans="2:8" x14ac:dyDescent="0.2">
      <c r="B36" s="57"/>
      <c r="C36" s="59"/>
      <c r="D36" s="55"/>
      <c r="E36" s="56"/>
      <c r="G36" s="60"/>
      <c r="H36" s="61"/>
    </row>
    <row r="37" spans="2:8" x14ac:dyDescent="0.2">
      <c r="B37" s="117"/>
      <c r="C37" s="117"/>
      <c r="G37" s="60"/>
      <c r="H37" s="62"/>
    </row>
    <row r="38" spans="2:8" x14ac:dyDescent="0.2">
      <c r="B38" s="118" t="s">
        <v>93</v>
      </c>
      <c r="C38" s="118"/>
      <c r="E38" s="42" t="s">
        <v>94</v>
      </c>
      <c r="H38" s="63"/>
    </row>
  </sheetData>
  <mergeCells count="10">
    <mergeCell ref="B27:E27"/>
    <mergeCell ref="B34:E35"/>
    <mergeCell ref="B37:C37"/>
    <mergeCell ref="B38:C38"/>
    <mergeCell ref="B4:E4"/>
    <mergeCell ref="B5:B6"/>
    <mergeCell ref="C5:C6"/>
    <mergeCell ref="D5:D6"/>
    <mergeCell ref="E5:E6"/>
    <mergeCell ref="B26:C26"/>
  </mergeCells>
  <pageMargins left="0.7" right="0.7" top="0.75" bottom="0.75" header="0.3" footer="0.3"/>
  <pageSetup paperSize="9" scale="6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view="pageBreakPreview" zoomScale="75" zoomScaleNormal="100" zoomScaleSheetLayoutView="75" workbookViewId="0">
      <selection activeCell="F1" sqref="F1:F2"/>
    </sheetView>
  </sheetViews>
  <sheetFormatPr defaultColWidth="8.85546875" defaultRowHeight="12.75" x14ac:dyDescent="0.2"/>
  <cols>
    <col min="1" max="1" width="3.42578125" style="41" customWidth="1"/>
    <col min="2" max="2" width="4.85546875" style="41" customWidth="1"/>
    <col min="3" max="3" width="43.7109375" style="41" customWidth="1"/>
    <col min="4" max="4" width="9" style="41" bestFit="1" customWidth="1"/>
    <col min="5" max="5" width="12.5703125" style="42" customWidth="1"/>
    <col min="6" max="16384" width="8.85546875" style="41"/>
  </cols>
  <sheetData>
    <row r="1" spans="2:9" x14ac:dyDescent="0.2">
      <c r="F1" s="43" t="s">
        <v>85</v>
      </c>
    </row>
    <row r="2" spans="2:9" ht="15" x14ac:dyDescent="0.35">
      <c r="F2" s="90" t="s">
        <v>139</v>
      </c>
    </row>
    <row r="3" spans="2:9" ht="13.5" thickBot="1" x14ac:dyDescent="0.25">
      <c r="I3" s="41" t="s">
        <v>116</v>
      </c>
    </row>
    <row r="4" spans="2:9" ht="24" customHeight="1" x14ac:dyDescent="0.2">
      <c r="B4" s="119" t="str">
        <f>CONCATENATE($I$4,$I$3)</f>
        <v>Размер платы на содержание общего имущества многоквартирного дома№ 8А ул. Мира</v>
      </c>
      <c r="C4" s="120"/>
      <c r="D4" s="120"/>
      <c r="E4" s="121"/>
      <c r="I4" s="41" t="s">
        <v>96</v>
      </c>
    </row>
    <row r="5" spans="2:9" ht="13.9" customHeight="1" x14ac:dyDescent="0.2">
      <c r="B5" s="122" t="s">
        <v>1</v>
      </c>
      <c r="C5" s="123" t="s">
        <v>87</v>
      </c>
      <c r="D5" s="124" t="s">
        <v>88</v>
      </c>
      <c r="E5" s="125" t="s">
        <v>89</v>
      </c>
      <c r="I5" s="41" t="s">
        <v>97</v>
      </c>
    </row>
    <row r="6" spans="2:9" x14ac:dyDescent="0.2">
      <c r="B6" s="122"/>
      <c r="C6" s="123"/>
      <c r="D6" s="124"/>
      <c r="E6" s="125"/>
    </row>
    <row r="7" spans="2:9" ht="41.45" customHeight="1" x14ac:dyDescent="0.2">
      <c r="B7" s="44">
        <v>1</v>
      </c>
      <c r="C7" s="45" t="str">
        <f>'ЖЭУ 3'!D5</f>
        <v xml:space="preserve">Управление  многоквартирным домом   </v>
      </c>
      <c r="D7" s="46" t="s">
        <v>90</v>
      </c>
      <c r="E7" s="47">
        <f ca="1">SUMIF('ЖЭУ 3'!$D$5:$AF$6,'Ленина 1'!$C7,'ЖЭУ 3'!$D$27:$AF$27)</f>
        <v>5.04</v>
      </c>
    </row>
    <row r="8" spans="2:9" ht="41.45" customHeight="1" x14ac:dyDescent="0.2">
      <c r="B8" s="44">
        <v>2</v>
      </c>
      <c r="C8" s="45" t="str">
        <f>'ЖЭУ 3'!E5</f>
        <v>Уборка и санитарно-гигиеническая очистка 
лестничных клеток</v>
      </c>
      <c r="D8" s="46" t="s">
        <v>90</v>
      </c>
      <c r="E8" s="47">
        <f ca="1">SUMIF('ЖЭУ 3'!$D$5:$AF$6,'Ленина 1'!$C8,'ЖЭУ 3'!$D$27:$AF$27)</f>
        <v>5.28</v>
      </c>
    </row>
    <row r="9" spans="2:9" ht="41.45" customHeight="1" x14ac:dyDescent="0.2">
      <c r="B9" s="44">
        <v>3</v>
      </c>
      <c r="C9" s="45" t="str">
        <f>'ЖЭУ 3'!F5</f>
        <v>Уборка и санитарно-гигиеническая очистка земельного участка и контейнерных площадок</v>
      </c>
      <c r="D9" s="46" t="s">
        <v>90</v>
      </c>
      <c r="E9" s="47">
        <f ca="1">SUMIF('ЖЭУ 3'!$D$5:$AF$6,'Ленина 1'!$C9,'ЖЭУ 3'!$D$27:$AF$27)</f>
        <v>5.68</v>
      </c>
    </row>
    <row r="10" spans="2:9" ht="41.45" customHeight="1" x14ac:dyDescent="0.2">
      <c r="B10" s="44">
        <v>4</v>
      </c>
      <c r="C10" s="45" t="str">
        <f>'ЖЭУ 3'!G5</f>
        <v>Содержание и техническое обслуживание конструктивных элементов</v>
      </c>
      <c r="D10" s="46" t="s">
        <v>90</v>
      </c>
      <c r="E10" s="47">
        <f ca="1">SUMIF('ЖЭУ 3'!$D$5:$AF$6,'Ленина 1'!$C10,'ЖЭУ 3'!$D$27:$AF$27)</f>
        <v>2.35</v>
      </c>
    </row>
    <row r="11" spans="2:9" ht="41.45" customHeight="1" x14ac:dyDescent="0.2">
      <c r="B11" s="44">
        <v>5</v>
      </c>
      <c r="C11" s="45" t="str">
        <f>'ЖЭУ 3'!H5</f>
        <v>Содержание и техническое обслуживание внутридомовых систем холодного и горячего водоснабжения, отопления и канализации</v>
      </c>
      <c r="D11" s="46" t="s">
        <v>90</v>
      </c>
      <c r="E11" s="47">
        <f ca="1">SUMIF('ЖЭУ 3'!$D$5:$AF$6,'Ленина 1'!$C11,'ЖЭУ 3'!$D$27:$AF$27)</f>
        <v>3.25</v>
      </c>
    </row>
    <row r="12" spans="2:9" ht="41.45" customHeight="1" x14ac:dyDescent="0.2">
      <c r="B12" s="44">
        <v>6</v>
      </c>
      <c r="C12" s="45" t="str">
        <f>'ЖЭУ 3'!I5</f>
        <v>Содержание и техническое обслуживание внутридомовых систем электроснабжения</v>
      </c>
      <c r="D12" s="46" t="s">
        <v>90</v>
      </c>
      <c r="E12" s="47">
        <f ca="1">SUMIF('ЖЭУ 3'!$D$5:$AF$6,'Ленина 1'!$C12,'ЖЭУ 3'!$D$27:$AF$27)</f>
        <v>2.56</v>
      </c>
    </row>
    <row r="13" spans="2:9" ht="41.45" customHeight="1" x14ac:dyDescent="0.2">
      <c r="B13" s="44">
        <v>7</v>
      </c>
      <c r="C13" s="45" t="str">
        <f>'ЖЭУ 3'!J5</f>
        <v>Текущий ремонт МКД</v>
      </c>
      <c r="D13" s="46" t="s">
        <v>90</v>
      </c>
      <c r="E13" s="47">
        <f ca="1">SUMIF('ЖЭУ 3'!$D$5:$AF$6,'Ленина 1'!$C13,'ЖЭУ 3'!$D$27:$AF$27)</f>
        <v>9.9699999999999989</v>
      </c>
    </row>
    <row r="14" spans="2:9" ht="41.45" customHeight="1" x14ac:dyDescent="0.2">
      <c r="B14" s="44">
        <v>8</v>
      </c>
      <c r="C14" s="45" t="str">
        <f>'ЖЭУ 3'!P5</f>
        <v>Дератизация, дезинсекция помещений</v>
      </c>
      <c r="D14" s="46" t="s">
        <v>90</v>
      </c>
      <c r="E14" s="47">
        <f ca="1">SUMIF('ЖЭУ 3'!$D$5:$AF$6,'Ленина 1'!$C14,'ЖЭУ 3'!$D$27:$AF$27)</f>
        <v>0.11</v>
      </c>
    </row>
    <row r="15" spans="2:9" ht="41.45" customHeight="1" x14ac:dyDescent="0.2">
      <c r="B15" s="44">
        <v>9</v>
      </c>
      <c r="C15" s="45" t="str">
        <f>'ЖЭУ 3'!Q5</f>
        <v>Благоустройство придомовой территории</v>
      </c>
      <c r="D15" s="46" t="s">
        <v>90</v>
      </c>
      <c r="E15" s="47">
        <f ca="1">SUMIF('ЖЭУ 3'!$D$5:$AF$6,'Ленина 1'!$C15,'ЖЭУ 3'!$D$27:$AF$27)</f>
        <v>0.37</v>
      </c>
    </row>
    <row r="16" spans="2:9" ht="41.45" customHeight="1" x14ac:dyDescent="0.2">
      <c r="B16" s="44">
        <v>10</v>
      </c>
      <c r="C16" s="45" t="str">
        <f>'ЖЭУ 3'!R5</f>
        <v>Сбор и вывоз твердых коммунальных отходов</v>
      </c>
      <c r="D16" s="46" t="s">
        <v>90</v>
      </c>
      <c r="E16" s="47">
        <f ca="1">SUMIF('ЖЭУ 3'!$D$5:$AF$6,'Ленина 1'!$C16,'ЖЭУ 3'!$D$27:$AF$27)</f>
        <v>1.43</v>
      </c>
    </row>
    <row r="17" spans="2:8" ht="41.45" customHeight="1" x14ac:dyDescent="0.2">
      <c r="B17" s="44">
        <v>11</v>
      </c>
      <c r="C17" s="45" t="str">
        <f>'ЖЭУ 3'!S5</f>
        <v>Механизированная уборка территорий от снега</v>
      </c>
      <c r="D17" s="46" t="s">
        <v>90</v>
      </c>
      <c r="E17" s="47">
        <f ca="1">SUMIF('ЖЭУ 3'!$D$5:$AF$6,'Ленина 1'!$C17,'ЖЭУ 3'!$D$27:$AF$27)</f>
        <v>1.1399999999999999</v>
      </c>
    </row>
    <row r="18" spans="2:8" ht="41.45" customHeight="1" x14ac:dyDescent="0.2">
      <c r="B18" s="44">
        <v>12</v>
      </c>
      <c r="C18" s="45" t="str">
        <f>'ЖЭУ 3'!T5</f>
        <v>Содержание, техническое обслуживание КОДПУ тепловой энергии на отопление</v>
      </c>
      <c r="D18" s="46" t="s">
        <v>90</v>
      </c>
      <c r="E18" s="47">
        <f ca="1">SUMIF('ЖЭУ 3'!$D$5:$AF$6,'Ленина 1'!$C18,'ЖЭУ 3'!$D$27:$AF$27)</f>
        <v>0.52</v>
      </c>
    </row>
    <row r="19" spans="2:8" ht="41.45" customHeight="1" x14ac:dyDescent="0.2">
      <c r="B19" s="44">
        <v>13</v>
      </c>
      <c r="C19" s="45" t="str">
        <f>'ЖЭУ 3'!U5</f>
        <v>Содержание, техническое обслуживание КОДПУ горячего водоснабжения</v>
      </c>
      <c r="D19" s="46" t="s">
        <v>90</v>
      </c>
      <c r="E19" s="47">
        <f ca="1">SUMIF('ЖЭУ 3'!$D$5:$AF$6,'Ленина 1'!$C19,'ЖЭУ 3'!$D$27:$AF$27)</f>
        <v>0</v>
      </c>
    </row>
    <row r="20" spans="2:8" ht="41.45" customHeight="1" x14ac:dyDescent="0.2">
      <c r="B20" s="44">
        <v>14</v>
      </c>
      <c r="C20" s="45" t="str">
        <f>'ЖЭУ 3'!V5</f>
        <v>Содержание, техническое обслуживание КОДПУ холодного водоснабжения</v>
      </c>
      <c r="D20" s="46" t="s">
        <v>90</v>
      </c>
      <c r="E20" s="47">
        <f ca="1">SUMIF('ЖЭУ 3'!$D$5:$AF$6,'Ленина 1'!$C20,'ЖЭУ 3'!$D$27:$AF$27)</f>
        <v>0.37</v>
      </c>
    </row>
    <row r="21" spans="2:8" ht="41.45" customHeight="1" x14ac:dyDescent="0.2">
      <c r="B21" s="44">
        <v>15</v>
      </c>
      <c r="C21" s="45" t="str">
        <f>'ЖЭУ 3'!W5</f>
        <v>Поверка, замена вышедшего из строя оборудования коллективног ОПУ тепловой энергии на отопление</v>
      </c>
      <c r="D21" s="46" t="s">
        <v>90</v>
      </c>
      <c r="E21" s="47">
        <f ca="1">SUMIF('ЖЭУ 3'!$D$5:$AF$6,'Ленина 1'!$C21,'ЖЭУ 3'!$D$27:$AF$27)</f>
        <v>0.36</v>
      </c>
    </row>
    <row r="22" spans="2:8" ht="41.45" customHeight="1" x14ac:dyDescent="0.2">
      <c r="B22" s="44">
        <v>16</v>
      </c>
      <c r="C22" s="45" t="str">
        <f>'ЖЭУ 3'!X5</f>
        <v>Поверка, замена вышедшего из строя оборудования коллективног ОПУ горячего водоснабжения</v>
      </c>
      <c r="D22" s="46" t="s">
        <v>90</v>
      </c>
      <c r="E22" s="47">
        <f ca="1">SUMIF('ЖЭУ 3'!$D$5:$AF$6,'Ленина 1'!$C22,'ЖЭУ 3'!$D$27:$AF$27)</f>
        <v>0</v>
      </c>
      <c r="G22" s="52">
        <f ca="1">SUM(E7:E25)</f>
        <v>38.959999999999994</v>
      </c>
      <c r="H22" s="52">
        <f ca="1">G22-'ЖЭУ 3'!AK27</f>
        <v>0</v>
      </c>
    </row>
    <row r="23" spans="2:8" ht="33" customHeight="1" x14ac:dyDescent="0.2">
      <c r="B23" s="44">
        <v>17</v>
      </c>
      <c r="C23" s="45" t="str">
        <f>'ЖЭУ 3'!Y5</f>
        <v>Поверка, замена вышедшего из строя оборудования коллективног ОПУ холодного водоснабжения</v>
      </c>
      <c r="D23" s="46" t="s">
        <v>90</v>
      </c>
      <c r="E23" s="47">
        <f ca="1">SUMIF('ЖЭУ 3'!$D$5:$AF$6,'Ленина 1'!$C23,'ЖЭУ 3'!$D$27:$AF$27)</f>
        <v>0.15</v>
      </c>
    </row>
    <row r="24" spans="2:8" ht="43.15" customHeight="1" x14ac:dyDescent="0.2">
      <c r="B24" s="44">
        <v>18</v>
      </c>
      <c r="C24" s="45" t="str">
        <f>'ЖЭУ 3'!Z5</f>
        <v>Поверка, замена вышедшего из строя оборудования коллективног ОПУ электрической энергии</v>
      </c>
      <c r="D24" s="46" t="s">
        <v>90</v>
      </c>
      <c r="E24" s="47">
        <f ca="1">SUMIF('ЖЭУ 3'!$D$5:$AF$6,'Ленина 1'!$C24,'ЖЭУ 3'!$D$27:$AF$27)</f>
        <v>0.38</v>
      </c>
    </row>
    <row r="25" spans="2:8" ht="31.9" customHeight="1" thickBot="1" x14ac:dyDescent="0.25">
      <c r="B25" s="48">
        <v>19</v>
      </c>
      <c r="C25" s="49" t="str">
        <f>'ЖЭУ 3'!AA5</f>
        <v>Техническое обслуживание систем аудидомофонной связи</v>
      </c>
      <c r="D25" s="50" t="s">
        <v>90</v>
      </c>
      <c r="E25" s="51">
        <f ca="1">SUMIF('ЖЭУ 3'!$D$5:$AF$6,'Ленина 1'!$C25,'ЖЭУ 3'!$D$27:$AF$27)</f>
        <v>0</v>
      </c>
    </row>
    <row r="26" spans="2:8" ht="11.45" customHeight="1" thickBot="1" x14ac:dyDescent="0.25">
      <c r="B26" s="116" t="s">
        <v>91</v>
      </c>
      <c r="C26" s="116"/>
    </row>
    <row r="27" spans="2:8" ht="25.15" customHeight="1" x14ac:dyDescent="0.2">
      <c r="B27" s="113" t="str">
        <f>CONCATENATE($I$5,$I$3)</f>
        <v>Расходы по коммунальным услугам, потребленным на содержание общего иммущества многоквартирного дома№ 8А ул. Мира</v>
      </c>
      <c r="C27" s="114"/>
      <c r="D27" s="114"/>
      <c r="E27" s="115"/>
    </row>
    <row r="28" spans="2:8" ht="25.15" customHeight="1" x14ac:dyDescent="0.2">
      <c r="B28" s="44">
        <v>1</v>
      </c>
      <c r="C28" s="45" t="str">
        <f>'ЖЭУ 3'!AB5</f>
        <v>Электрическая энергия, потребляемая при содержании общего имущества в МКД</v>
      </c>
      <c r="D28" s="46" t="s">
        <v>90</v>
      </c>
      <c r="E28" s="47">
        <f ca="1">SUMIF('ЖЭУ 3'!$D$5:$AF$6,'Ленина 1'!$C28,'ЖЭУ 3'!$D$27:$AF$27)</f>
        <v>1.0534710144927537</v>
      </c>
      <c r="G28" s="52"/>
    </row>
    <row r="29" spans="2:8" ht="25.15" customHeight="1" x14ac:dyDescent="0.2">
      <c r="B29" s="44">
        <v>2</v>
      </c>
      <c r="C29" s="45" t="str">
        <f>'ЖЭУ 3'!AC5</f>
        <v>Холодная вода, потребляемая при содержании общего имущества в МКД</v>
      </c>
      <c r="D29" s="46" t="s">
        <v>90</v>
      </c>
      <c r="E29" s="47">
        <f ca="1">SUMIF('ЖЭУ 3'!$D$5:$AF$6,'Ленина 1'!$C29,'ЖЭУ 3'!$D$27:$AF$27)</f>
        <v>0.16994452173913041</v>
      </c>
      <c r="G29" s="52">
        <f ca="1">SUM(E28:E32)</f>
        <v>2.116465188405797</v>
      </c>
      <c r="H29" s="52">
        <f ca="1">G29-'ЖЭУ 3'!AJ27</f>
        <v>0</v>
      </c>
    </row>
    <row r="30" spans="2:8" ht="27.6" customHeight="1" x14ac:dyDescent="0.2">
      <c r="B30" s="44">
        <v>3</v>
      </c>
      <c r="C30" s="45" t="str">
        <f>'ЖЭУ 3'!AD5</f>
        <v>Холодная вода в составе горячей на содержание общего имущества МКД</v>
      </c>
      <c r="D30" s="46" t="s">
        <v>90</v>
      </c>
      <c r="E30" s="47">
        <f ca="1">SUMIF('ЖЭУ 3'!$D$5:$AF$6,'Ленина 1'!$C30,'ЖЭУ 3'!$D$27:$AF$27)</f>
        <v>0.5654139130434781</v>
      </c>
    </row>
    <row r="31" spans="2:8" ht="27.6" customHeight="1" x14ac:dyDescent="0.2">
      <c r="B31" s="44">
        <v>4</v>
      </c>
      <c r="C31" s="45" t="str">
        <f>'ЖЭУ 3'!AE5</f>
        <v>Горячая вода, потребляемая при содержании общего имущества в МКД</v>
      </c>
      <c r="D31" s="46" t="s">
        <v>90</v>
      </c>
      <c r="E31" s="47">
        <f ca="1">SUMIF('ЖЭУ 3'!$D$5:$AF$6,'Ленина 1'!$C31,'ЖЭУ 3'!$D$27:$AF$27)</f>
        <v>0</v>
      </c>
    </row>
    <row r="32" spans="2:8" ht="27.6" customHeight="1" thickBot="1" x14ac:dyDescent="0.25">
      <c r="B32" s="48">
        <v>5</v>
      </c>
      <c r="C32" s="49" t="str">
        <f>'ЖЭУ 3'!AF5</f>
        <v>Водоотведение при содержании общего имущества в МКД</v>
      </c>
      <c r="D32" s="50" t="s">
        <v>90</v>
      </c>
      <c r="E32" s="51">
        <f ca="1">SUMIF('ЖЭУ 3'!$D$5:$AF$6,'Ленина 1'!$C32,'ЖЭУ 3'!$D$27:$AF$27)</f>
        <v>0.32763573913043476</v>
      </c>
    </row>
    <row r="33" spans="2:8" ht="11.45" customHeight="1" x14ac:dyDescent="0.2">
      <c r="B33" s="53"/>
      <c r="C33" s="59"/>
      <c r="D33" s="55"/>
      <c r="E33" s="56"/>
    </row>
    <row r="34" spans="2:8" ht="21.6" customHeight="1" x14ac:dyDescent="0.2">
      <c r="B34" s="116" t="s">
        <v>92</v>
      </c>
      <c r="C34" s="116"/>
      <c r="D34" s="116"/>
      <c r="E34" s="116"/>
      <c r="G34" s="58"/>
    </row>
    <row r="35" spans="2:8" ht="15" customHeight="1" x14ac:dyDescent="0.2">
      <c r="B35" s="116"/>
      <c r="C35" s="116"/>
      <c r="D35" s="116"/>
      <c r="E35" s="116"/>
      <c r="H35" s="52"/>
    </row>
    <row r="36" spans="2:8" x14ac:dyDescent="0.2">
      <c r="B36" s="57"/>
      <c r="C36" s="59"/>
      <c r="D36" s="55"/>
      <c r="E36" s="56"/>
      <c r="G36" s="60"/>
      <c r="H36" s="61"/>
    </row>
    <row r="37" spans="2:8" x14ac:dyDescent="0.2">
      <c r="B37" s="117"/>
      <c r="C37" s="117"/>
      <c r="G37" s="60"/>
      <c r="H37" s="62"/>
    </row>
    <row r="38" spans="2:8" x14ac:dyDescent="0.2">
      <c r="B38" s="118" t="s">
        <v>93</v>
      </c>
      <c r="C38" s="118"/>
      <c r="E38" s="42" t="s">
        <v>94</v>
      </c>
      <c r="H38" s="63"/>
    </row>
  </sheetData>
  <mergeCells count="10">
    <mergeCell ref="B27:E27"/>
    <mergeCell ref="B34:E35"/>
    <mergeCell ref="B37:C37"/>
    <mergeCell ref="B38:C38"/>
    <mergeCell ref="B4:E4"/>
    <mergeCell ref="B5:B6"/>
    <mergeCell ref="C5:C6"/>
    <mergeCell ref="D5:D6"/>
    <mergeCell ref="E5:E6"/>
    <mergeCell ref="B26:C26"/>
  </mergeCells>
  <pageMargins left="0.7" right="0.7" top="0.75" bottom="0.75" header="0.3" footer="0.3"/>
  <pageSetup paperSize="9" scale="6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view="pageBreakPreview" zoomScale="75" zoomScaleNormal="100" zoomScaleSheetLayoutView="75" workbookViewId="0">
      <selection activeCell="F1" sqref="F1:F2"/>
    </sheetView>
  </sheetViews>
  <sheetFormatPr defaultColWidth="8.85546875" defaultRowHeight="12.75" x14ac:dyDescent="0.2"/>
  <cols>
    <col min="1" max="1" width="3.42578125" style="41" customWidth="1"/>
    <col min="2" max="2" width="4.85546875" style="41" customWidth="1"/>
    <col min="3" max="3" width="43.7109375" style="41" customWidth="1"/>
    <col min="4" max="4" width="9" style="41" bestFit="1" customWidth="1"/>
    <col min="5" max="5" width="12.5703125" style="42" customWidth="1"/>
    <col min="6" max="16384" width="8.85546875" style="41"/>
  </cols>
  <sheetData>
    <row r="1" spans="2:9" x14ac:dyDescent="0.2">
      <c r="F1" s="43" t="s">
        <v>85</v>
      </c>
    </row>
    <row r="2" spans="2:9" ht="15" x14ac:dyDescent="0.35">
      <c r="F2" s="90" t="s">
        <v>139</v>
      </c>
    </row>
    <row r="3" spans="2:9" ht="13.5" thickBot="1" x14ac:dyDescent="0.25">
      <c r="I3" s="41" t="s">
        <v>117</v>
      </c>
    </row>
    <row r="4" spans="2:9" ht="24" customHeight="1" x14ac:dyDescent="0.2">
      <c r="B4" s="119" t="str">
        <f>CONCATENATE($I$4,$I$3)</f>
        <v>Размер платы на содержание общего имущества многоквартирного дома№ 10 ул. Мира</v>
      </c>
      <c r="C4" s="120"/>
      <c r="D4" s="120"/>
      <c r="E4" s="121"/>
      <c r="I4" s="41" t="s">
        <v>96</v>
      </c>
    </row>
    <row r="5" spans="2:9" ht="13.9" customHeight="1" x14ac:dyDescent="0.2">
      <c r="B5" s="122" t="s">
        <v>1</v>
      </c>
      <c r="C5" s="123" t="s">
        <v>87</v>
      </c>
      <c r="D5" s="124" t="s">
        <v>88</v>
      </c>
      <c r="E5" s="125" t="s">
        <v>89</v>
      </c>
      <c r="I5" s="41" t="s">
        <v>97</v>
      </c>
    </row>
    <row r="6" spans="2:9" x14ac:dyDescent="0.2">
      <c r="B6" s="122"/>
      <c r="C6" s="123"/>
      <c r="D6" s="124"/>
      <c r="E6" s="125"/>
    </row>
    <row r="7" spans="2:9" ht="41.45" customHeight="1" x14ac:dyDescent="0.2">
      <c r="B7" s="44">
        <v>1</v>
      </c>
      <c r="C7" s="45" t="str">
        <f>'ЖЭУ 3'!D5</f>
        <v xml:space="preserve">Управление  многоквартирным домом   </v>
      </c>
      <c r="D7" s="46" t="s">
        <v>90</v>
      </c>
      <c r="E7" s="47">
        <f ca="1">SUMIF('ЖЭУ 3'!$D$5:$AF$6,'Ленина 1'!$C7,'ЖЭУ 3'!$D$28:$AF$28)</f>
        <v>5.04</v>
      </c>
    </row>
    <row r="8" spans="2:9" ht="41.45" customHeight="1" x14ac:dyDescent="0.2">
      <c r="B8" s="44">
        <v>2</v>
      </c>
      <c r="C8" s="45" t="str">
        <f>'ЖЭУ 3'!E5</f>
        <v>Уборка и санитарно-гигиеническая очистка 
лестничных клеток</v>
      </c>
      <c r="D8" s="46" t="s">
        <v>90</v>
      </c>
      <c r="E8" s="47">
        <f ca="1">SUMIF('ЖЭУ 3'!$D$5:$AF$6,'Ленина 1'!$C8,'ЖЭУ 3'!$D$28:$AF$28)</f>
        <v>5.37</v>
      </c>
    </row>
    <row r="9" spans="2:9" ht="41.45" customHeight="1" x14ac:dyDescent="0.2">
      <c r="B9" s="44">
        <v>3</v>
      </c>
      <c r="C9" s="45" t="str">
        <f>'ЖЭУ 3'!F5</f>
        <v>Уборка и санитарно-гигиеническая очистка земельного участка и контейнерных площадок</v>
      </c>
      <c r="D9" s="46" t="s">
        <v>90</v>
      </c>
      <c r="E9" s="47">
        <f ca="1">SUMIF('ЖЭУ 3'!$D$5:$AF$6,'Ленина 1'!$C9,'ЖЭУ 3'!$D$28:$AF$28)</f>
        <v>6.96</v>
      </c>
    </row>
    <row r="10" spans="2:9" ht="41.45" customHeight="1" x14ac:dyDescent="0.2">
      <c r="B10" s="44">
        <v>4</v>
      </c>
      <c r="C10" s="45" t="str">
        <f>'ЖЭУ 3'!G5</f>
        <v>Содержание и техническое обслуживание конструктивных элементов</v>
      </c>
      <c r="D10" s="46" t="s">
        <v>90</v>
      </c>
      <c r="E10" s="47">
        <f ca="1">SUMIF('ЖЭУ 3'!$D$5:$AF$6,'Ленина 1'!$C10,'ЖЭУ 3'!$D$28:$AF$28)</f>
        <v>3.13</v>
      </c>
    </row>
    <row r="11" spans="2:9" ht="41.45" customHeight="1" x14ac:dyDescent="0.2">
      <c r="B11" s="44">
        <v>5</v>
      </c>
      <c r="C11" s="45" t="str">
        <f>'ЖЭУ 3'!H5</f>
        <v>Содержание и техническое обслуживание внутридомовых систем холодного и горячего водоснабжения, отопления и канализации</v>
      </c>
      <c r="D11" s="46" t="s">
        <v>90</v>
      </c>
      <c r="E11" s="47">
        <f ca="1">SUMIF('ЖЭУ 3'!$D$5:$AF$6,'Ленина 1'!$C11,'ЖЭУ 3'!$D$28:$AF$28)</f>
        <v>3.3</v>
      </c>
    </row>
    <row r="12" spans="2:9" ht="41.45" customHeight="1" x14ac:dyDescent="0.2">
      <c r="B12" s="44">
        <v>6</v>
      </c>
      <c r="C12" s="45" t="str">
        <f>'ЖЭУ 3'!I5</f>
        <v>Содержание и техническое обслуживание внутридомовых систем электроснабжения</v>
      </c>
      <c r="D12" s="46" t="s">
        <v>90</v>
      </c>
      <c r="E12" s="47">
        <f ca="1">SUMIF('ЖЭУ 3'!$D$5:$AF$6,'Ленина 1'!$C12,'ЖЭУ 3'!$D$28:$AF$28)</f>
        <v>2.56</v>
      </c>
    </row>
    <row r="13" spans="2:9" ht="41.45" customHeight="1" x14ac:dyDescent="0.2">
      <c r="B13" s="44">
        <v>7</v>
      </c>
      <c r="C13" s="45" t="str">
        <f>'ЖЭУ 3'!J5</f>
        <v>Текущий ремонт МКД</v>
      </c>
      <c r="D13" s="46" t="s">
        <v>90</v>
      </c>
      <c r="E13" s="47">
        <f ca="1">SUMIF('ЖЭУ 3'!$D$5:$AF$6,'Ленина 1'!$C13,'ЖЭУ 3'!$D$28:$AF$28)</f>
        <v>8.3149999999999977</v>
      </c>
    </row>
    <row r="14" spans="2:9" ht="41.45" customHeight="1" x14ac:dyDescent="0.2">
      <c r="B14" s="44">
        <v>8</v>
      </c>
      <c r="C14" s="45" t="str">
        <f>'ЖЭУ 3'!P5</f>
        <v>Дератизация, дезинсекция помещений</v>
      </c>
      <c r="D14" s="46" t="s">
        <v>90</v>
      </c>
      <c r="E14" s="47">
        <f ca="1">SUMIF('ЖЭУ 3'!$D$5:$AF$6,'Ленина 1'!$C14,'ЖЭУ 3'!$D$28:$AF$28)</f>
        <v>0.11</v>
      </c>
    </row>
    <row r="15" spans="2:9" ht="41.45" customHeight="1" x14ac:dyDescent="0.2">
      <c r="B15" s="44">
        <v>9</v>
      </c>
      <c r="C15" s="45" t="str">
        <f>'ЖЭУ 3'!Q5</f>
        <v>Благоустройство придомовой территории</v>
      </c>
      <c r="D15" s="46" t="s">
        <v>90</v>
      </c>
      <c r="E15" s="47">
        <f ca="1">SUMIF('ЖЭУ 3'!$D$5:$AF$6,'Ленина 1'!$C15,'ЖЭУ 3'!$D$28:$AF$28)</f>
        <v>0.37</v>
      </c>
    </row>
    <row r="16" spans="2:9" ht="41.45" customHeight="1" x14ac:dyDescent="0.2">
      <c r="B16" s="44">
        <v>10</v>
      </c>
      <c r="C16" s="45" t="str">
        <f>'ЖЭУ 3'!R5</f>
        <v>Сбор и вывоз твердых коммунальных отходов</v>
      </c>
      <c r="D16" s="46" t="s">
        <v>90</v>
      </c>
      <c r="E16" s="47">
        <f ca="1">SUMIF('ЖЭУ 3'!$D$5:$AF$6,'Ленина 1'!$C16,'ЖЭУ 3'!$D$28:$AF$28)</f>
        <v>1.34</v>
      </c>
    </row>
    <row r="17" spans="2:8" ht="41.45" customHeight="1" x14ac:dyDescent="0.2">
      <c r="B17" s="44">
        <v>11</v>
      </c>
      <c r="C17" s="45" t="str">
        <f>'ЖЭУ 3'!S5</f>
        <v>Механизированная уборка территорий от снега</v>
      </c>
      <c r="D17" s="46" t="s">
        <v>90</v>
      </c>
      <c r="E17" s="47">
        <f ca="1">SUMIF('ЖЭУ 3'!$D$5:$AF$6,'Ленина 1'!$C17,'ЖЭУ 3'!$D$28:$AF$28)</f>
        <v>0.69</v>
      </c>
    </row>
    <row r="18" spans="2:8" ht="41.45" customHeight="1" x14ac:dyDescent="0.2">
      <c r="B18" s="44">
        <v>12</v>
      </c>
      <c r="C18" s="45" t="str">
        <f>'ЖЭУ 3'!T5</f>
        <v>Содержание, техническое обслуживание КОДПУ тепловой энергии на отопление</v>
      </c>
      <c r="D18" s="46" t="s">
        <v>90</v>
      </c>
      <c r="E18" s="47">
        <f ca="1">SUMIF('ЖЭУ 3'!$D$5:$AF$6,'Ленина 1'!$C18,'ЖЭУ 3'!$D$28:$AF$28)</f>
        <v>0.51</v>
      </c>
    </row>
    <row r="19" spans="2:8" ht="41.45" customHeight="1" x14ac:dyDescent="0.2">
      <c r="B19" s="44">
        <v>13</v>
      </c>
      <c r="C19" s="45" t="str">
        <f>'ЖЭУ 3'!U5</f>
        <v>Содержание, техническое обслуживание КОДПУ горячего водоснабжения</v>
      </c>
      <c r="D19" s="46" t="s">
        <v>90</v>
      </c>
      <c r="E19" s="47">
        <f ca="1">SUMIF('ЖЭУ 3'!$D$5:$AF$6,'Ленина 1'!$C19,'ЖЭУ 3'!$D$28:$AF$28)</f>
        <v>0</v>
      </c>
    </row>
    <row r="20" spans="2:8" ht="41.45" customHeight="1" x14ac:dyDescent="0.2">
      <c r="B20" s="44">
        <v>14</v>
      </c>
      <c r="C20" s="45" t="str">
        <f>'ЖЭУ 3'!V5</f>
        <v>Содержание, техническое обслуживание КОДПУ холодного водоснабжения</v>
      </c>
      <c r="D20" s="46" t="s">
        <v>90</v>
      </c>
      <c r="E20" s="47">
        <f ca="1">SUMIF('ЖЭУ 3'!$D$5:$AF$6,'Ленина 1'!$C20,'ЖЭУ 3'!$D$28:$AF$28)</f>
        <v>0.36</v>
      </c>
    </row>
    <row r="21" spans="2:8" ht="41.45" customHeight="1" x14ac:dyDescent="0.2">
      <c r="B21" s="44">
        <v>15</v>
      </c>
      <c r="C21" s="45" t="str">
        <f>'ЖЭУ 3'!W5</f>
        <v>Поверка, замена вышедшего из строя оборудования коллективног ОПУ тепловой энергии на отопление</v>
      </c>
      <c r="D21" s="46" t="s">
        <v>90</v>
      </c>
      <c r="E21" s="47">
        <f ca="1">SUMIF('ЖЭУ 3'!$D$5:$AF$6,'Ленина 1'!$C21,'ЖЭУ 3'!$D$28:$AF$28)</f>
        <v>0.35</v>
      </c>
    </row>
    <row r="22" spans="2:8" ht="41.45" customHeight="1" x14ac:dyDescent="0.2">
      <c r="B22" s="44">
        <v>16</v>
      </c>
      <c r="C22" s="45" t="str">
        <f>'ЖЭУ 3'!X5</f>
        <v>Поверка, замена вышедшего из строя оборудования коллективног ОПУ горячего водоснабжения</v>
      </c>
      <c r="D22" s="46" t="s">
        <v>90</v>
      </c>
      <c r="E22" s="47">
        <f ca="1">SUMIF('ЖЭУ 3'!$D$5:$AF$6,'Ленина 1'!$C22,'ЖЭУ 3'!$D$28:$AF$28)</f>
        <v>0</v>
      </c>
      <c r="G22" s="52">
        <f ca="1">SUM(E7:E25)</f>
        <v>38.934999999999995</v>
      </c>
      <c r="H22" s="52">
        <f ca="1">G22-'ЖЭУ 3'!AK28</f>
        <v>0</v>
      </c>
    </row>
    <row r="23" spans="2:8" ht="33" customHeight="1" x14ac:dyDescent="0.2">
      <c r="B23" s="44">
        <v>17</v>
      </c>
      <c r="C23" s="45" t="str">
        <f>'ЖЭУ 3'!Y5</f>
        <v>Поверка, замена вышедшего из строя оборудования коллективног ОПУ холодного водоснабжения</v>
      </c>
      <c r="D23" s="46" t="s">
        <v>90</v>
      </c>
      <c r="E23" s="47">
        <f ca="1">SUMIF('ЖЭУ 3'!$D$5:$AF$6,'Ленина 1'!$C23,'ЖЭУ 3'!$D$28:$AF$28)</f>
        <v>0.15</v>
      </c>
    </row>
    <row r="24" spans="2:8" ht="43.15" customHeight="1" x14ac:dyDescent="0.2">
      <c r="B24" s="44">
        <v>18</v>
      </c>
      <c r="C24" s="45" t="str">
        <f>'ЖЭУ 3'!Z5</f>
        <v>Поверка, замена вышедшего из строя оборудования коллективног ОПУ электрической энергии</v>
      </c>
      <c r="D24" s="46" t="s">
        <v>90</v>
      </c>
      <c r="E24" s="47">
        <f ca="1">SUMIF('ЖЭУ 3'!$D$5:$AF$6,'Ленина 1'!$C24,'ЖЭУ 3'!$D$28:$AF$28)</f>
        <v>0.38</v>
      </c>
    </row>
    <row r="25" spans="2:8" ht="31.9" customHeight="1" thickBot="1" x14ac:dyDescent="0.25">
      <c r="B25" s="48">
        <v>19</v>
      </c>
      <c r="C25" s="49" t="str">
        <f>'ЖЭУ 3'!AA5</f>
        <v>Техническое обслуживание систем аудидомофонной связи</v>
      </c>
      <c r="D25" s="50" t="s">
        <v>90</v>
      </c>
      <c r="E25" s="51">
        <f ca="1">SUMIF('ЖЭУ 3'!$D$5:$AF$6,'Ленина 1'!$C25,'ЖЭУ 3'!$D$28:$AF$28)</f>
        <v>0</v>
      </c>
    </row>
    <row r="26" spans="2:8" ht="11.45" customHeight="1" thickBot="1" x14ac:dyDescent="0.25">
      <c r="B26" s="116" t="s">
        <v>91</v>
      </c>
      <c r="C26" s="116"/>
    </row>
    <row r="27" spans="2:8" ht="25.15" customHeight="1" x14ac:dyDescent="0.2">
      <c r="B27" s="113" t="str">
        <f>CONCATENATE($I$5,$I$3)</f>
        <v>Расходы по коммунальным услугам, потребленным на содержание общего иммущества многоквартирного дома№ 10 ул. Мира</v>
      </c>
      <c r="C27" s="114"/>
      <c r="D27" s="114"/>
      <c r="E27" s="115"/>
    </row>
    <row r="28" spans="2:8" ht="25.15" customHeight="1" x14ac:dyDescent="0.2">
      <c r="B28" s="44">
        <v>1</v>
      </c>
      <c r="C28" s="45" t="str">
        <f>'ЖЭУ 3'!AB5</f>
        <v>Электрическая энергия, потребляемая при содержании общего имущества в МКД</v>
      </c>
      <c r="D28" s="46" t="s">
        <v>90</v>
      </c>
      <c r="E28" s="47">
        <f ca="1">SUMIF('ЖЭУ 3'!$D$5:$AF$6,'Ленина 1'!$C28,'ЖЭУ 3'!$D$28:$AF$28)</f>
        <v>1.0685683607730851</v>
      </c>
      <c r="G28" s="52"/>
    </row>
    <row r="29" spans="2:8" ht="25.15" customHeight="1" x14ac:dyDescent="0.2">
      <c r="B29" s="44">
        <v>2</v>
      </c>
      <c r="C29" s="45" t="str">
        <f>'ЖЭУ 3'!AC5</f>
        <v>Холодная вода, потребляемая при содержании общего имущества в МКД</v>
      </c>
      <c r="D29" s="46" t="s">
        <v>90</v>
      </c>
      <c r="E29" s="47">
        <f ca="1">SUMIF('ЖЭУ 3'!$D$5:$AF$6,'Ленина 1'!$C29,'ЖЭУ 3'!$D$28:$AF$28)</f>
        <v>0.17174984967788112</v>
      </c>
      <c r="G29" s="52">
        <f ca="1">SUM(E28:E32)</f>
        <v>2.1428547673586253</v>
      </c>
      <c r="H29" s="52">
        <f ca="1">G29-'ЖЭУ 3'!AJ28</f>
        <v>0</v>
      </c>
    </row>
    <row r="30" spans="2:8" ht="27.6" customHeight="1" x14ac:dyDescent="0.2">
      <c r="B30" s="44">
        <v>3</v>
      </c>
      <c r="C30" s="45" t="str">
        <f>'ЖЭУ 3'!AD5</f>
        <v>Холодная вода в составе горячей на содержание общего имущества МКД</v>
      </c>
      <c r="D30" s="46" t="s">
        <v>90</v>
      </c>
      <c r="E30" s="47">
        <f ca="1">SUMIF('ЖЭУ 3'!$D$5:$AF$6,'Ленина 1'!$C30,'ЖЭУ 3'!$D$28:$AF$28)</f>
        <v>0.57142032927702213</v>
      </c>
    </row>
    <row r="31" spans="2:8" ht="27.6" customHeight="1" x14ac:dyDescent="0.2">
      <c r="B31" s="44">
        <v>4</v>
      </c>
      <c r="C31" s="45" t="str">
        <f>'ЖЭУ 3'!AE5</f>
        <v>Горячая вода, потребляемая при содержании общего имущества в МКД</v>
      </c>
      <c r="D31" s="46" t="s">
        <v>90</v>
      </c>
      <c r="E31" s="47">
        <f ca="1">SUMIF('ЖЭУ 3'!$D$5:$AF$6,'Ленина 1'!$C31,'ЖЭУ 3'!$D$28:$AF$28)</f>
        <v>0</v>
      </c>
    </row>
    <row r="32" spans="2:8" ht="27.6" customHeight="1" thickBot="1" x14ac:dyDescent="0.25">
      <c r="B32" s="48">
        <v>5</v>
      </c>
      <c r="C32" s="49" t="str">
        <f>'ЖЭУ 3'!AF5</f>
        <v>Водоотведение при содержании общего имущества в МКД</v>
      </c>
      <c r="D32" s="50" t="s">
        <v>90</v>
      </c>
      <c r="E32" s="51">
        <f ca="1">SUMIF('ЖЭУ 3'!$D$5:$AF$6,'Ленина 1'!$C32,'ЖЭУ 3'!$D$28:$AF$28)</f>
        <v>0.33111622763063703</v>
      </c>
    </row>
    <row r="33" spans="2:8" ht="11.45" customHeight="1" x14ac:dyDescent="0.2">
      <c r="B33" s="53"/>
      <c r="C33" s="59"/>
      <c r="D33" s="55"/>
      <c r="E33" s="56"/>
    </row>
    <row r="34" spans="2:8" ht="21.6" customHeight="1" x14ac:dyDescent="0.2">
      <c r="B34" s="116" t="s">
        <v>92</v>
      </c>
      <c r="C34" s="116"/>
      <c r="D34" s="116"/>
      <c r="E34" s="116"/>
      <c r="G34" s="58"/>
    </row>
    <row r="35" spans="2:8" ht="15" customHeight="1" x14ac:dyDescent="0.2">
      <c r="B35" s="116"/>
      <c r="C35" s="116"/>
      <c r="D35" s="116"/>
      <c r="E35" s="116"/>
      <c r="H35" s="52"/>
    </row>
    <row r="36" spans="2:8" x14ac:dyDescent="0.2">
      <c r="B36" s="57"/>
      <c r="C36" s="59"/>
      <c r="D36" s="55"/>
      <c r="E36" s="56"/>
      <c r="G36" s="60"/>
      <c r="H36" s="61"/>
    </row>
    <row r="37" spans="2:8" x14ac:dyDescent="0.2">
      <c r="B37" s="117"/>
      <c r="C37" s="117"/>
      <c r="G37" s="60"/>
      <c r="H37" s="62"/>
    </row>
    <row r="38" spans="2:8" x14ac:dyDescent="0.2">
      <c r="B38" s="118" t="s">
        <v>93</v>
      </c>
      <c r="C38" s="118"/>
      <c r="E38" s="42" t="s">
        <v>94</v>
      </c>
      <c r="H38" s="63"/>
    </row>
  </sheetData>
  <mergeCells count="10">
    <mergeCell ref="B27:E27"/>
    <mergeCell ref="B34:E35"/>
    <mergeCell ref="B37:C37"/>
    <mergeCell ref="B38:C38"/>
    <mergeCell ref="B4:E4"/>
    <mergeCell ref="B5:B6"/>
    <mergeCell ref="C5:C6"/>
    <mergeCell ref="D5:D6"/>
    <mergeCell ref="E5:E6"/>
    <mergeCell ref="B26:C26"/>
  </mergeCells>
  <pageMargins left="0.7" right="0.7" top="0.75" bottom="0.75" header="0.3" footer="0.3"/>
  <pageSetup paperSize="9" scale="6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view="pageBreakPreview" zoomScale="75" zoomScaleNormal="100" zoomScaleSheetLayoutView="75" workbookViewId="0">
      <selection activeCell="F1" sqref="F1:F2"/>
    </sheetView>
  </sheetViews>
  <sheetFormatPr defaultColWidth="8.85546875" defaultRowHeight="12.75" x14ac:dyDescent="0.2"/>
  <cols>
    <col min="1" max="1" width="3.42578125" style="41" customWidth="1"/>
    <col min="2" max="2" width="4.85546875" style="41" customWidth="1"/>
    <col min="3" max="3" width="43.7109375" style="41" customWidth="1"/>
    <col min="4" max="4" width="9" style="41" bestFit="1" customWidth="1"/>
    <col min="5" max="5" width="12.5703125" style="42" customWidth="1"/>
    <col min="6" max="16384" width="8.85546875" style="41"/>
  </cols>
  <sheetData>
    <row r="1" spans="2:9" x14ac:dyDescent="0.2">
      <c r="F1" s="43" t="s">
        <v>85</v>
      </c>
    </row>
    <row r="2" spans="2:9" ht="15" x14ac:dyDescent="0.35">
      <c r="F2" s="90" t="s">
        <v>139</v>
      </c>
    </row>
    <row r="3" spans="2:9" ht="13.5" thickBot="1" x14ac:dyDescent="0.25">
      <c r="I3" s="41" t="s">
        <v>118</v>
      </c>
    </row>
    <row r="4" spans="2:9" ht="24" customHeight="1" x14ac:dyDescent="0.2">
      <c r="B4" s="119" t="str">
        <f>CONCATENATE($I$4,$I$3)</f>
        <v>Размер платы на содержание общего имущества многоквартирного дома№ 10А ул. Мира</v>
      </c>
      <c r="C4" s="120"/>
      <c r="D4" s="120"/>
      <c r="E4" s="121"/>
      <c r="I4" s="41" t="s">
        <v>96</v>
      </c>
    </row>
    <row r="5" spans="2:9" ht="13.9" customHeight="1" x14ac:dyDescent="0.2">
      <c r="B5" s="122" t="s">
        <v>1</v>
      </c>
      <c r="C5" s="123" t="s">
        <v>87</v>
      </c>
      <c r="D5" s="124" t="s">
        <v>88</v>
      </c>
      <c r="E5" s="125" t="s">
        <v>89</v>
      </c>
      <c r="I5" s="41" t="s">
        <v>97</v>
      </c>
    </row>
    <row r="6" spans="2:9" x14ac:dyDescent="0.2">
      <c r="B6" s="122"/>
      <c r="C6" s="123"/>
      <c r="D6" s="124"/>
      <c r="E6" s="125"/>
    </row>
    <row r="7" spans="2:9" ht="41.45" customHeight="1" x14ac:dyDescent="0.2">
      <c r="B7" s="44">
        <v>1</v>
      </c>
      <c r="C7" s="45" t="str">
        <f>'ЖЭУ 3'!D5</f>
        <v xml:space="preserve">Управление  многоквартирным домом   </v>
      </c>
      <c r="D7" s="46" t="s">
        <v>90</v>
      </c>
      <c r="E7" s="47">
        <f ca="1">SUMIF('ЖЭУ 3'!$D$5:$AF$6,'Ленина 1'!$C7,'ЖЭУ 3'!$D$29:$AF$29)</f>
        <v>5.04</v>
      </c>
    </row>
    <row r="8" spans="2:9" ht="41.45" customHeight="1" x14ac:dyDescent="0.2">
      <c r="B8" s="44">
        <v>2</v>
      </c>
      <c r="C8" s="45" t="str">
        <f>'ЖЭУ 3'!E5</f>
        <v>Уборка и санитарно-гигиеническая очистка 
лестничных клеток</v>
      </c>
      <c r="D8" s="46" t="s">
        <v>90</v>
      </c>
      <c r="E8" s="47">
        <f ca="1">SUMIF('ЖЭУ 3'!$D$5:$AF$6,'Ленина 1'!$C8,'ЖЭУ 3'!$D$29:$AF$29)</f>
        <v>4.4800000000000004</v>
      </c>
    </row>
    <row r="9" spans="2:9" ht="41.45" customHeight="1" x14ac:dyDescent="0.2">
      <c r="B9" s="44">
        <v>3</v>
      </c>
      <c r="C9" s="45" t="str">
        <f>'ЖЭУ 3'!F5</f>
        <v>Уборка и санитарно-гигиеническая очистка земельного участка и контейнерных площадок</v>
      </c>
      <c r="D9" s="46" t="s">
        <v>90</v>
      </c>
      <c r="E9" s="47">
        <f ca="1">SUMIF('ЖЭУ 3'!$D$5:$AF$6,'Ленина 1'!$C9,'ЖЭУ 3'!$D$29:$AF$29)</f>
        <v>7.53</v>
      </c>
    </row>
    <row r="10" spans="2:9" ht="41.45" customHeight="1" x14ac:dyDescent="0.2">
      <c r="B10" s="44">
        <v>4</v>
      </c>
      <c r="C10" s="45" t="str">
        <f>'ЖЭУ 3'!G5</f>
        <v>Содержание и техническое обслуживание конструктивных элементов</v>
      </c>
      <c r="D10" s="46" t="s">
        <v>90</v>
      </c>
      <c r="E10" s="47">
        <f ca="1">SUMIF('ЖЭУ 3'!$D$5:$AF$6,'Ленина 1'!$C10,'ЖЭУ 3'!$D$29:$AF$29)</f>
        <v>3.08</v>
      </c>
    </row>
    <row r="11" spans="2:9" ht="41.45" customHeight="1" x14ac:dyDescent="0.2">
      <c r="B11" s="44">
        <v>5</v>
      </c>
      <c r="C11" s="45" t="str">
        <f>'ЖЭУ 3'!H5</f>
        <v>Содержание и техническое обслуживание внутридомовых систем холодного и горячего водоснабжения, отопления и канализации</v>
      </c>
      <c r="D11" s="46" t="s">
        <v>90</v>
      </c>
      <c r="E11" s="47">
        <f ca="1">SUMIF('ЖЭУ 3'!$D$5:$AF$6,'Ленина 1'!$C11,'ЖЭУ 3'!$D$29:$AF$29)</f>
        <v>3.23</v>
      </c>
    </row>
    <row r="12" spans="2:9" ht="41.45" customHeight="1" x14ac:dyDescent="0.2">
      <c r="B12" s="44">
        <v>6</v>
      </c>
      <c r="C12" s="45" t="str">
        <f>'ЖЭУ 3'!I5</f>
        <v>Содержание и техническое обслуживание внутридомовых систем электроснабжения</v>
      </c>
      <c r="D12" s="46" t="s">
        <v>90</v>
      </c>
      <c r="E12" s="47">
        <f ca="1">SUMIF('ЖЭУ 3'!$D$5:$AF$6,'Ленина 1'!$C12,'ЖЭУ 3'!$D$29:$AF$29)</f>
        <v>2.5</v>
      </c>
    </row>
    <row r="13" spans="2:9" ht="41.45" customHeight="1" x14ac:dyDescent="0.2">
      <c r="B13" s="44">
        <v>7</v>
      </c>
      <c r="C13" s="45" t="str">
        <f>'ЖЭУ 3'!J5</f>
        <v>Текущий ремонт МКД</v>
      </c>
      <c r="D13" s="46" t="s">
        <v>90</v>
      </c>
      <c r="E13" s="47">
        <f ca="1">SUMIF('ЖЭУ 3'!$D$5:$AF$6,'Ленина 1'!$C13,'ЖЭУ 3'!$D$29:$AF$29)</f>
        <v>8.99</v>
      </c>
    </row>
    <row r="14" spans="2:9" ht="41.45" customHeight="1" x14ac:dyDescent="0.2">
      <c r="B14" s="44">
        <v>8</v>
      </c>
      <c r="C14" s="45" t="str">
        <f>'ЖЭУ 3'!P5</f>
        <v>Дератизация, дезинсекция помещений</v>
      </c>
      <c r="D14" s="46" t="s">
        <v>90</v>
      </c>
      <c r="E14" s="47">
        <f ca="1">SUMIF('ЖЭУ 3'!$D$5:$AF$6,'Ленина 1'!$C14,'ЖЭУ 3'!$D$29:$AF$29)</f>
        <v>0.11</v>
      </c>
    </row>
    <row r="15" spans="2:9" ht="41.45" customHeight="1" x14ac:dyDescent="0.2">
      <c r="B15" s="44">
        <v>9</v>
      </c>
      <c r="C15" s="45" t="str">
        <f>'ЖЭУ 3'!Q5</f>
        <v>Благоустройство придомовой территории</v>
      </c>
      <c r="D15" s="46" t="s">
        <v>90</v>
      </c>
      <c r="E15" s="47">
        <f ca="1">SUMIF('ЖЭУ 3'!$D$5:$AF$6,'Ленина 1'!$C15,'ЖЭУ 3'!$D$29:$AF$29)</f>
        <v>0.37</v>
      </c>
    </row>
    <row r="16" spans="2:9" ht="41.45" customHeight="1" x14ac:dyDescent="0.2">
      <c r="B16" s="44">
        <v>10</v>
      </c>
      <c r="C16" s="45" t="str">
        <f>'ЖЭУ 3'!R5</f>
        <v>Сбор и вывоз твердых коммунальных отходов</v>
      </c>
      <c r="D16" s="46" t="s">
        <v>90</v>
      </c>
      <c r="E16" s="47">
        <f ca="1">SUMIF('ЖЭУ 3'!$D$5:$AF$6,'Ленина 1'!$C16,'ЖЭУ 3'!$D$29:$AF$29)</f>
        <v>1.32</v>
      </c>
    </row>
    <row r="17" spans="2:8" ht="41.45" customHeight="1" x14ac:dyDescent="0.2">
      <c r="B17" s="44">
        <v>11</v>
      </c>
      <c r="C17" s="45" t="str">
        <f>'ЖЭУ 3'!S5</f>
        <v>Механизированная уборка территорий от снега</v>
      </c>
      <c r="D17" s="46" t="s">
        <v>90</v>
      </c>
      <c r="E17" s="47">
        <f ca="1">SUMIF('ЖЭУ 3'!$D$5:$AF$6,'Ленина 1'!$C17,'ЖЭУ 3'!$D$29:$AF$29)</f>
        <v>0.6</v>
      </c>
    </row>
    <row r="18" spans="2:8" ht="41.45" customHeight="1" x14ac:dyDescent="0.2">
      <c r="B18" s="44">
        <v>12</v>
      </c>
      <c r="C18" s="45" t="str">
        <f>'ЖЭУ 3'!T5</f>
        <v>Содержание, техническое обслуживание КОДПУ тепловой энергии на отопление</v>
      </c>
      <c r="D18" s="46" t="s">
        <v>90</v>
      </c>
      <c r="E18" s="47">
        <f ca="1">SUMIF('ЖЭУ 3'!$D$5:$AF$6,'Ленина 1'!$C18,'ЖЭУ 3'!$D$29:$AF$29)</f>
        <v>0.5</v>
      </c>
    </row>
    <row r="19" spans="2:8" ht="41.45" customHeight="1" x14ac:dyDescent="0.2">
      <c r="B19" s="44">
        <v>13</v>
      </c>
      <c r="C19" s="45" t="str">
        <f>'ЖЭУ 3'!U5</f>
        <v>Содержание, техническое обслуживание КОДПУ горячего водоснабжения</v>
      </c>
      <c r="D19" s="46" t="s">
        <v>90</v>
      </c>
      <c r="E19" s="47">
        <f ca="1">SUMIF('ЖЭУ 3'!$D$5:$AF$6,'Ленина 1'!$C19,'ЖЭУ 3'!$D$29:$AF$29)</f>
        <v>0</v>
      </c>
    </row>
    <row r="20" spans="2:8" ht="41.45" customHeight="1" x14ac:dyDescent="0.2">
      <c r="B20" s="44">
        <v>14</v>
      </c>
      <c r="C20" s="45" t="str">
        <f>'ЖЭУ 3'!V5</f>
        <v>Содержание, техническое обслуживание КОДПУ холодного водоснабжения</v>
      </c>
      <c r="D20" s="46" t="s">
        <v>90</v>
      </c>
      <c r="E20" s="47">
        <f ca="1">SUMIF('ЖЭУ 3'!$D$5:$AF$6,'Ленина 1'!$C20,'ЖЭУ 3'!$D$29:$AF$29)</f>
        <v>0.35</v>
      </c>
    </row>
    <row r="21" spans="2:8" ht="41.45" customHeight="1" x14ac:dyDescent="0.2">
      <c r="B21" s="44">
        <v>15</v>
      </c>
      <c r="C21" s="45" t="str">
        <f>'ЖЭУ 3'!W5</f>
        <v>Поверка, замена вышедшего из строя оборудования коллективног ОПУ тепловой энергии на отопление</v>
      </c>
      <c r="D21" s="46" t="s">
        <v>90</v>
      </c>
      <c r="E21" s="47">
        <f ca="1">SUMIF('ЖЭУ 3'!$D$5:$AF$6,'Ленина 1'!$C21,'ЖЭУ 3'!$D$29:$AF$29)</f>
        <v>0.34</v>
      </c>
    </row>
    <row r="22" spans="2:8" ht="41.45" customHeight="1" x14ac:dyDescent="0.2">
      <c r="B22" s="44">
        <v>16</v>
      </c>
      <c r="C22" s="45" t="str">
        <f>'ЖЭУ 3'!X5</f>
        <v>Поверка, замена вышедшего из строя оборудования коллективног ОПУ горячего водоснабжения</v>
      </c>
      <c r="D22" s="46" t="s">
        <v>90</v>
      </c>
      <c r="E22" s="47">
        <f ca="1">SUMIF('ЖЭУ 3'!$D$5:$AF$6,'Ленина 1'!$C22,'ЖЭУ 3'!$D$29:$AF$29)</f>
        <v>0</v>
      </c>
      <c r="G22" s="52">
        <f ca="1">SUM(E7:E25)</f>
        <v>38.950000000000003</v>
      </c>
      <c r="H22" s="52">
        <f ca="1">G22-'ЖЭУ 3'!AK29</f>
        <v>0</v>
      </c>
    </row>
    <row r="23" spans="2:8" ht="33" customHeight="1" x14ac:dyDescent="0.2">
      <c r="B23" s="44">
        <v>17</v>
      </c>
      <c r="C23" s="45" t="str">
        <f>'ЖЭУ 3'!Y5</f>
        <v>Поверка, замена вышедшего из строя оборудования коллективног ОПУ холодного водоснабжения</v>
      </c>
      <c r="D23" s="46" t="s">
        <v>90</v>
      </c>
      <c r="E23" s="47">
        <f ca="1">SUMIF('ЖЭУ 3'!$D$5:$AF$6,'Ленина 1'!$C23,'ЖЭУ 3'!$D$29:$AF$29)</f>
        <v>0.14000000000000001</v>
      </c>
    </row>
    <row r="24" spans="2:8" ht="43.15" customHeight="1" x14ac:dyDescent="0.2">
      <c r="B24" s="44">
        <v>18</v>
      </c>
      <c r="C24" s="45" t="str">
        <f>'ЖЭУ 3'!Z5</f>
        <v>Поверка, замена вышедшего из строя оборудования коллективног ОПУ электрической энергии</v>
      </c>
      <c r="D24" s="46" t="s">
        <v>90</v>
      </c>
      <c r="E24" s="47">
        <f ca="1">SUMIF('ЖЭУ 3'!$D$5:$AF$6,'Ленина 1'!$C24,'ЖЭУ 3'!$D$29:$AF$29)</f>
        <v>0.37</v>
      </c>
    </row>
    <row r="25" spans="2:8" ht="31.9" customHeight="1" thickBot="1" x14ac:dyDescent="0.25">
      <c r="B25" s="48">
        <v>19</v>
      </c>
      <c r="C25" s="49" t="str">
        <f>'ЖЭУ 3'!AA5</f>
        <v>Техническое обслуживание систем аудидомофонной связи</v>
      </c>
      <c r="D25" s="50" t="s">
        <v>90</v>
      </c>
      <c r="E25" s="51">
        <f ca="1">SUMIF('ЖЭУ 3'!$D$5:$AF$6,'Ленина 1'!$C25,'ЖЭУ 3'!$D$29:$AF$29)</f>
        <v>0</v>
      </c>
    </row>
    <row r="26" spans="2:8" ht="11.45" customHeight="1" thickBot="1" x14ac:dyDescent="0.25">
      <c r="B26" s="116" t="s">
        <v>91</v>
      </c>
      <c r="C26" s="116"/>
    </row>
    <row r="27" spans="2:8" ht="25.15" customHeight="1" x14ac:dyDescent="0.2">
      <c r="B27" s="113" t="str">
        <f>CONCATENATE($I$5,$I$3)</f>
        <v>Расходы по коммунальным услугам, потребленным на содержание общего иммущества многоквартирного дома№ 10А ул. Мира</v>
      </c>
      <c r="C27" s="114"/>
      <c r="D27" s="114"/>
      <c r="E27" s="115"/>
    </row>
    <row r="28" spans="2:8" ht="25.15" customHeight="1" x14ac:dyDescent="0.2">
      <c r="B28" s="44">
        <v>1</v>
      </c>
      <c r="C28" s="45" t="str">
        <f>'ЖЭУ 3'!AB5</f>
        <v>Электрическая энергия, потребляемая при содержании общего имущества в МКД</v>
      </c>
      <c r="D28" s="46" t="s">
        <v>90</v>
      </c>
      <c r="E28" s="47">
        <f ca="1">SUMIF('ЖЭУ 3'!$D$5:$AF$6,'Ленина 1'!$C28,'ЖЭУ 3'!$D$29:$AF$29)</f>
        <v>0.99136712392466864</v>
      </c>
      <c r="G28" s="52"/>
    </row>
    <row r="29" spans="2:8" ht="25.15" customHeight="1" x14ac:dyDescent="0.2">
      <c r="B29" s="44">
        <v>2</v>
      </c>
      <c r="C29" s="45" t="str">
        <f>'ЖЭУ 3'!AC5</f>
        <v>Холодная вода, потребляемая при содержании общего имущества в МКД</v>
      </c>
      <c r="D29" s="46" t="s">
        <v>90</v>
      </c>
      <c r="E29" s="47">
        <f ca="1">SUMIF('ЖЭУ 3'!$D$5:$AF$6,'Ленина 1'!$C29,'ЖЭУ 3'!$D$29:$AF$29)</f>
        <v>0.14462261334573351</v>
      </c>
      <c r="G29" s="52">
        <f ca="1">SUM(E28:E32)</f>
        <v>1.8959740734712855</v>
      </c>
      <c r="H29" s="52">
        <f ca="1">G29-'ЖЭУ 3'!AJ29</f>
        <v>0</v>
      </c>
    </row>
    <row r="30" spans="2:8" ht="27.6" customHeight="1" x14ac:dyDescent="0.2">
      <c r="B30" s="44">
        <v>3</v>
      </c>
      <c r="C30" s="45" t="str">
        <f>'ЖЭУ 3'!AD5</f>
        <v>Холодная вода в составе горячей на содержание общего имущества МКД</v>
      </c>
      <c r="D30" s="46" t="s">
        <v>90</v>
      </c>
      <c r="E30" s="47">
        <f ca="1">SUMIF('ЖЭУ 3'!$D$5:$AF$6,'Ленина 1'!$C30,'ЖЭУ 3'!$D$29:$AF$29)</f>
        <v>0.48116665891653093</v>
      </c>
    </row>
    <row r="31" spans="2:8" ht="27.6" customHeight="1" x14ac:dyDescent="0.2">
      <c r="B31" s="44">
        <v>4</v>
      </c>
      <c r="C31" s="45" t="str">
        <f>'ЖЭУ 3'!AE5</f>
        <v>Горячая вода, потребляемая при содержании общего имущества в МКД</v>
      </c>
      <c r="D31" s="46" t="s">
        <v>90</v>
      </c>
      <c r="E31" s="47">
        <f ca="1">SUMIF('ЖЭУ 3'!$D$5:$AF$6,'Ленина 1'!$C31,'ЖЭУ 3'!$D$29:$AF$29)</f>
        <v>0</v>
      </c>
    </row>
    <row r="32" spans="2:8" ht="27.6" customHeight="1" thickBot="1" x14ac:dyDescent="0.25">
      <c r="B32" s="48">
        <v>5</v>
      </c>
      <c r="C32" s="49" t="str">
        <f>'ЖЭУ 3'!AF5</f>
        <v>Водоотведение при содержании общего имущества в МКД</v>
      </c>
      <c r="D32" s="50" t="s">
        <v>90</v>
      </c>
      <c r="E32" s="51">
        <f ca="1">SUMIF('ЖЭУ 3'!$D$5:$AF$6,'Ленина 1'!$C32,'ЖЭУ 3'!$D$29:$AF$29)</f>
        <v>0.27881767728435242</v>
      </c>
    </row>
    <row r="33" spans="2:8" ht="11.45" customHeight="1" x14ac:dyDescent="0.2">
      <c r="B33" s="53"/>
      <c r="C33" s="59"/>
      <c r="D33" s="55"/>
      <c r="E33" s="56"/>
    </row>
    <row r="34" spans="2:8" ht="21.6" customHeight="1" x14ac:dyDescent="0.2">
      <c r="B34" s="116" t="s">
        <v>92</v>
      </c>
      <c r="C34" s="116"/>
      <c r="D34" s="116"/>
      <c r="E34" s="116"/>
      <c r="G34" s="58"/>
    </row>
    <row r="35" spans="2:8" ht="15" customHeight="1" x14ac:dyDescent="0.2">
      <c r="B35" s="116"/>
      <c r="C35" s="116"/>
      <c r="D35" s="116"/>
      <c r="E35" s="116"/>
      <c r="H35" s="52"/>
    </row>
    <row r="36" spans="2:8" x14ac:dyDescent="0.2">
      <c r="B36" s="57"/>
      <c r="C36" s="59"/>
      <c r="D36" s="55"/>
      <c r="E36" s="56"/>
      <c r="G36" s="60"/>
      <c r="H36" s="61"/>
    </row>
    <row r="37" spans="2:8" x14ac:dyDescent="0.2">
      <c r="B37" s="117"/>
      <c r="C37" s="117"/>
      <c r="G37" s="60"/>
      <c r="H37" s="62"/>
    </row>
    <row r="38" spans="2:8" x14ac:dyDescent="0.2">
      <c r="B38" s="118" t="s">
        <v>93</v>
      </c>
      <c r="C38" s="118"/>
      <c r="E38" s="42" t="s">
        <v>94</v>
      </c>
      <c r="H38" s="63"/>
    </row>
  </sheetData>
  <mergeCells count="10">
    <mergeCell ref="B27:E27"/>
    <mergeCell ref="B34:E35"/>
    <mergeCell ref="B37:C37"/>
    <mergeCell ref="B38:C38"/>
    <mergeCell ref="B4:E4"/>
    <mergeCell ref="B5:B6"/>
    <mergeCell ref="C5:C6"/>
    <mergeCell ref="D5:D6"/>
    <mergeCell ref="E5:E6"/>
    <mergeCell ref="B26:C26"/>
  </mergeCells>
  <pageMargins left="0.7" right="0.7" top="0.75" bottom="0.75" header="0.3" footer="0.3"/>
  <pageSetup paperSize="9" scale="6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view="pageBreakPreview" zoomScale="75" zoomScaleNormal="100" zoomScaleSheetLayoutView="75" workbookViewId="0">
      <selection activeCell="F1" sqref="F1:F2"/>
    </sheetView>
  </sheetViews>
  <sheetFormatPr defaultColWidth="8.85546875" defaultRowHeight="12.75" x14ac:dyDescent="0.2"/>
  <cols>
    <col min="1" max="1" width="3.42578125" style="41" customWidth="1"/>
    <col min="2" max="2" width="4.85546875" style="41" customWidth="1"/>
    <col min="3" max="3" width="43.7109375" style="41" customWidth="1"/>
    <col min="4" max="4" width="9" style="41" bestFit="1" customWidth="1"/>
    <col min="5" max="5" width="12.5703125" style="42" customWidth="1"/>
    <col min="6" max="16384" width="8.85546875" style="41"/>
  </cols>
  <sheetData>
    <row r="1" spans="2:9" x14ac:dyDescent="0.2">
      <c r="F1" s="43" t="s">
        <v>85</v>
      </c>
    </row>
    <row r="2" spans="2:9" ht="15" x14ac:dyDescent="0.35">
      <c r="F2" s="90" t="s">
        <v>139</v>
      </c>
    </row>
    <row r="3" spans="2:9" ht="13.5" thickBot="1" x14ac:dyDescent="0.25">
      <c r="I3" s="41" t="s">
        <v>119</v>
      </c>
    </row>
    <row r="4" spans="2:9" ht="24" customHeight="1" x14ac:dyDescent="0.2">
      <c r="B4" s="119" t="str">
        <f>CONCATENATE($I$4,$I$3)</f>
        <v>Размер платы на содержание общего имущества многоквартирного дома№ 12 ул. Мира</v>
      </c>
      <c r="C4" s="120"/>
      <c r="D4" s="120"/>
      <c r="E4" s="121"/>
      <c r="I4" s="41" t="s">
        <v>96</v>
      </c>
    </row>
    <row r="5" spans="2:9" ht="13.9" customHeight="1" x14ac:dyDescent="0.2">
      <c r="B5" s="122" t="s">
        <v>1</v>
      </c>
      <c r="C5" s="123" t="s">
        <v>87</v>
      </c>
      <c r="D5" s="124" t="s">
        <v>88</v>
      </c>
      <c r="E5" s="125" t="s">
        <v>89</v>
      </c>
      <c r="I5" s="41" t="s">
        <v>97</v>
      </c>
    </row>
    <row r="6" spans="2:9" x14ac:dyDescent="0.2">
      <c r="B6" s="122"/>
      <c r="C6" s="123"/>
      <c r="D6" s="124"/>
      <c r="E6" s="125"/>
    </row>
    <row r="7" spans="2:9" ht="41.45" customHeight="1" x14ac:dyDescent="0.2">
      <c r="B7" s="44">
        <v>1</v>
      </c>
      <c r="C7" s="45" t="str">
        <f>'ЖЭУ 3'!D5</f>
        <v xml:space="preserve">Управление  многоквартирным домом   </v>
      </c>
      <c r="D7" s="46" t="s">
        <v>90</v>
      </c>
      <c r="E7" s="47">
        <f ca="1">SUMIF('ЖЭУ 3'!$D$5:$AF$6,'Ленина 1'!$C7,'ЖЭУ 3'!$D$30:$AF$30)</f>
        <v>5.04</v>
      </c>
    </row>
    <row r="8" spans="2:9" ht="41.45" customHeight="1" x14ac:dyDescent="0.2">
      <c r="B8" s="44">
        <v>2</v>
      </c>
      <c r="C8" s="45" t="str">
        <f>'ЖЭУ 3'!E5</f>
        <v>Уборка и санитарно-гигиеническая очистка 
лестничных клеток</v>
      </c>
      <c r="D8" s="46" t="s">
        <v>90</v>
      </c>
      <c r="E8" s="47">
        <f ca="1">SUMIF('ЖЭУ 3'!$D$5:$AF$6,'Ленина 1'!$C8,'ЖЭУ 3'!$D$30:$AF$30)</f>
        <v>5.28</v>
      </c>
    </row>
    <row r="9" spans="2:9" ht="41.45" customHeight="1" x14ac:dyDescent="0.2">
      <c r="B9" s="44">
        <v>3</v>
      </c>
      <c r="C9" s="45" t="str">
        <f>'ЖЭУ 3'!F5</f>
        <v>Уборка и санитарно-гигиеническая очистка земельного участка и контейнерных площадок</v>
      </c>
      <c r="D9" s="46" t="s">
        <v>90</v>
      </c>
      <c r="E9" s="47">
        <f ca="1">SUMIF('ЖЭУ 3'!$D$5:$AF$6,'Ленина 1'!$C9,'ЖЭУ 3'!$D$30:$AF$30)</f>
        <v>7.45</v>
      </c>
    </row>
    <row r="10" spans="2:9" ht="41.45" customHeight="1" x14ac:dyDescent="0.2">
      <c r="B10" s="44">
        <v>4</v>
      </c>
      <c r="C10" s="45" t="str">
        <f>'ЖЭУ 3'!G5</f>
        <v>Содержание и техническое обслуживание конструктивных элементов</v>
      </c>
      <c r="D10" s="46" t="s">
        <v>90</v>
      </c>
      <c r="E10" s="47">
        <f ca="1">SUMIF('ЖЭУ 3'!$D$5:$AF$6,'Ленина 1'!$C10,'ЖЭУ 3'!$D$30:$AF$30)</f>
        <v>3.02</v>
      </c>
    </row>
    <row r="11" spans="2:9" ht="41.45" customHeight="1" x14ac:dyDescent="0.2">
      <c r="B11" s="44">
        <v>5</v>
      </c>
      <c r="C11" s="45" t="str">
        <f>'ЖЭУ 3'!H5</f>
        <v>Содержание и техническое обслуживание внутридомовых систем холодного и горячего водоснабжения, отопления и канализации</v>
      </c>
      <c r="D11" s="46" t="s">
        <v>90</v>
      </c>
      <c r="E11" s="47">
        <f ca="1">SUMIF('ЖЭУ 3'!$D$5:$AF$6,'Ленина 1'!$C11,'ЖЭУ 3'!$D$30:$AF$30)</f>
        <v>3.16</v>
      </c>
    </row>
    <row r="12" spans="2:9" ht="41.45" customHeight="1" x14ac:dyDescent="0.2">
      <c r="B12" s="44">
        <v>6</v>
      </c>
      <c r="C12" s="45" t="str">
        <f>'ЖЭУ 3'!I5</f>
        <v>Содержание и техническое обслуживание внутридомовых систем электроснабжения</v>
      </c>
      <c r="D12" s="46" t="s">
        <v>90</v>
      </c>
      <c r="E12" s="47">
        <f ca="1">SUMIF('ЖЭУ 3'!$D$5:$AF$6,'Ленина 1'!$C12,'ЖЭУ 3'!$D$30:$AF$30)</f>
        <v>2.44</v>
      </c>
    </row>
    <row r="13" spans="2:9" ht="41.45" customHeight="1" x14ac:dyDescent="0.2">
      <c r="B13" s="44">
        <v>7</v>
      </c>
      <c r="C13" s="45" t="str">
        <f>'ЖЭУ 3'!J5</f>
        <v>Текущий ремонт МКД</v>
      </c>
      <c r="D13" s="46" t="s">
        <v>90</v>
      </c>
      <c r="E13" s="47">
        <f ca="1">SUMIF('ЖЭУ 3'!$D$5:$AF$6,'Ленина 1'!$C13,'ЖЭУ 3'!$D$30:$AF$30)</f>
        <v>8.9939999999999998</v>
      </c>
    </row>
    <row r="14" spans="2:9" ht="41.45" customHeight="1" x14ac:dyDescent="0.2">
      <c r="B14" s="44">
        <v>8</v>
      </c>
      <c r="C14" s="45" t="str">
        <f>'ЖЭУ 3'!P5</f>
        <v>Дератизация, дезинсекция помещений</v>
      </c>
      <c r="D14" s="46" t="s">
        <v>90</v>
      </c>
      <c r="E14" s="47">
        <f ca="1">SUMIF('ЖЭУ 3'!$D$5:$AF$6,'Ленина 1'!$C14,'ЖЭУ 3'!$D$30:$AF$30)</f>
        <v>0.11</v>
      </c>
    </row>
    <row r="15" spans="2:9" ht="41.45" customHeight="1" x14ac:dyDescent="0.2">
      <c r="B15" s="44">
        <v>9</v>
      </c>
      <c r="C15" s="45" t="str">
        <f>'ЖЭУ 3'!Q5</f>
        <v>Благоустройство придомовой территории</v>
      </c>
      <c r="D15" s="46" t="s">
        <v>90</v>
      </c>
      <c r="E15" s="47">
        <f ca="1">SUMIF('ЖЭУ 3'!$D$5:$AF$6,'Ленина 1'!$C15,'ЖЭУ 3'!$D$30:$AF$30)</f>
        <v>0.37</v>
      </c>
    </row>
    <row r="16" spans="2:9" ht="41.45" customHeight="1" x14ac:dyDescent="0.2">
      <c r="B16" s="44">
        <v>10</v>
      </c>
      <c r="C16" s="45" t="str">
        <f>'ЖЭУ 3'!R5</f>
        <v>Сбор и вывоз твердых коммунальных отходов</v>
      </c>
      <c r="D16" s="46" t="s">
        <v>90</v>
      </c>
      <c r="E16" s="47">
        <f ca="1">SUMIF('ЖЭУ 3'!$D$5:$AF$6,'Ленина 1'!$C16,'ЖЭУ 3'!$D$30:$AF$30)</f>
        <v>1.25</v>
      </c>
    </row>
    <row r="17" spans="2:8" ht="41.45" customHeight="1" x14ac:dyDescent="0.2">
      <c r="B17" s="44">
        <v>11</v>
      </c>
      <c r="C17" s="45" t="str">
        <f>'ЖЭУ 3'!S5</f>
        <v>Механизированная уборка территорий от снега</v>
      </c>
      <c r="D17" s="46" t="s">
        <v>90</v>
      </c>
      <c r="E17" s="47">
        <f ca="1">SUMIF('ЖЭУ 3'!$D$5:$AF$6,'Ленина 1'!$C17,'ЖЭУ 3'!$D$30:$AF$30)</f>
        <v>0.63</v>
      </c>
    </row>
    <row r="18" spans="2:8" ht="41.45" customHeight="1" x14ac:dyDescent="0.2">
      <c r="B18" s="44">
        <v>12</v>
      </c>
      <c r="C18" s="45" t="str">
        <f>'ЖЭУ 3'!T5</f>
        <v>Содержание, техническое обслуживание КОДПУ тепловой энергии на отопление</v>
      </c>
      <c r="D18" s="46" t="s">
        <v>90</v>
      </c>
      <c r="E18" s="47">
        <f ca="1">SUMIF('ЖЭУ 3'!$D$5:$AF$6,'Ленина 1'!$C18,'ЖЭУ 3'!$D$30:$AF$30)</f>
        <v>0</v>
      </c>
    </row>
    <row r="19" spans="2:8" ht="41.45" customHeight="1" x14ac:dyDescent="0.2">
      <c r="B19" s="44">
        <v>13</v>
      </c>
      <c r="C19" s="45" t="str">
        <f>'ЖЭУ 3'!U5</f>
        <v>Содержание, техническое обслуживание КОДПУ горячего водоснабжения</v>
      </c>
      <c r="D19" s="46" t="s">
        <v>90</v>
      </c>
      <c r="E19" s="47">
        <f ca="1">SUMIF('ЖЭУ 3'!$D$5:$AF$6,'Ленина 1'!$C19,'ЖЭУ 3'!$D$30:$AF$30)</f>
        <v>0</v>
      </c>
    </row>
    <row r="20" spans="2:8" ht="41.45" customHeight="1" x14ac:dyDescent="0.2">
      <c r="B20" s="44">
        <v>14</v>
      </c>
      <c r="C20" s="45" t="str">
        <f>'ЖЭУ 3'!V5</f>
        <v>Содержание, техническое обслуживание КОДПУ холодного водоснабжения</v>
      </c>
      <c r="D20" s="46" t="s">
        <v>90</v>
      </c>
      <c r="E20" s="47">
        <f ca="1">SUMIF('ЖЭУ 3'!$D$5:$AF$6,'Ленина 1'!$C20,'ЖЭУ 3'!$D$30:$AF$30)</f>
        <v>0</v>
      </c>
    </row>
    <row r="21" spans="2:8" ht="41.45" customHeight="1" x14ac:dyDescent="0.2">
      <c r="B21" s="44">
        <v>15</v>
      </c>
      <c r="C21" s="45" t="str">
        <f>'ЖЭУ 3'!W5</f>
        <v>Поверка, замена вышедшего из строя оборудования коллективног ОПУ тепловой энергии на отопление</v>
      </c>
      <c r="D21" s="46" t="s">
        <v>90</v>
      </c>
      <c r="E21" s="47">
        <f ca="1">SUMIF('ЖЭУ 3'!$D$5:$AF$6,'Ленина 1'!$C21,'ЖЭУ 3'!$D$30:$AF$30)</f>
        <v>0</v>
      </c>
    </row>
    <row r="22" spans="2:8" ht="41.45" customHeight="1" x14ac:dyDescent="0.2">
      <c r="B22" s="44">
        <v>16</v>
      </c>
      <c r="C22" s="45" t="str">
        <f>'ЖЭУ 3'!X5</f>
        <v>Поверка, замена вышедшего из строя оборудования коллективног ОПУ горячего водоснабжения</v>
      </c>
      <c r="D22" s="46" t="s">
        <v>90</v>
      </c>
      <c r="E22" s="47">
        <f ca="1">SUMIF('ЖЭУ 3'!$D$5:$AF$6,'Ленина 1'!$C22,'ЖЭУ 3'!$D$30:$AF$30)</f>
        <v>0</v>
      </c>
      <c r="G22" s="52">
        <f ca="1">SUM(E7:E25)</f>
        <v>38.113999999999997</v>
      </c>
      <c r="H22" s="52">
        <f ca="1">G22-'ЖЭУ 3'!AK30</f>
        <v>0</v>
      </c>
    </row>
    <row r="23" spans="2:8" ht="33" customHeight="1" x14ac:dyDescent="0.2">
      <c r="B23" s="44">
        <v>17</v>
      </c>
      <c r="C23" s="45" t="str">
        <f>'ЖЭУ 3'!Y5</f>
        <v>Поверка, замена вышедшего из строя оборудования коллективног ОПУ холодного водоснабжения</v>
      </c>
      <c r="D23" s="46" t="s">
        <v>90</v>
      </c>
      <c r="E23" s="47">
        <f ca="1">SUMIF('ЖЭУ 3'!$D$5:$AF$6,'Ленина 1'!$C23,'ЖЭУ 3'!$D$30:$AF$30)</f>
        <v>0</v>
      </c>
    </row>
    <row r="24" spans="2:8" ht="43.15" customHeight="1" x14ac:dyDescent="0.2">
      <c r="B24" s="44">
        <v>18</v>
      </c>
      <c r="C24" s="45" t="str">
        <f>'ЖЭУ 3'!Z5</f>
        <v>Поверка, замена вышедшего из строя оборудования коллективног ОПУ электрической энергии</v>
      </c>
      <c r="D24" s="46" t="s">
        <v>90</v>
      </c>
      <c r="E24" s="47">
        <f ca="1">SUMIF('ЖЭУ 3'!$D$5:$AF$6,'Ленина 1'!$C24,'ЖЭУ 3'!$D$30:$AF$30)</f>
        <v>0.37</v>
      </c>
    </row>
    <row r="25" spans="2:8" ht="31.9" customHeight="1" thickBot="1" x14ac:dyDescent="0.25">
      <c r="B25" s="48">
        <v>19</v>
      </c>
      <c r="C25" s="49" t="str">
        <f>'ЖЭУ 3'!AA5</f>
        <v>Техническое обслуживание систем аудидомофонной связи</v>
      </c>
      <c r="D25" s="50" t="s">
        <v>90</v>
      </c>
      <c r="E25" s="51">
        <f ca="1">SUMIF('ЖЭУ 3'!$D$5:$AF$6,'Ленина 1'!$C25,'ЖЭУ 3'!$D$30:$AF$30)</f>
        <v>0</v>
      </c>
    </row>
    <row r="26" spans="2:8" ht="11.45" customHeight="1" thickBot="1" x14ac:dyDescent="0.25">
      <c r="B26" s="116" t="s">
        <v>91</v>
      </c>
      <c r="C26" s="116"/>
    </row>
    <row r="27" spans="2:8" ht="25.15" customHeight="1" x14ac:dyDescent="0.2">
      <c r="B27" s="113" t="str">
        <f>CONCATENATE($I$5,$I$3)</f>
        <v>Расходы по коммунальным услугам, потребленным на содержание общего иммущества многоквартирного дома№ 12 ул. Мира</v>
      </c>
      <c r="C27" s="114"/>
      <c r="D27" s="114"/>
      <c r="E27" s="115"/>
    </row>
    <row r="28" spans="2:8" ht="25.15" customHeight="1" x14ac:dyDescent="0.2">
      <c r="B28" s="44">
        <v>1</v>
      </c>
      <c r="C28" s="45" t="str">
        <f>'ЖЭУ 3'!AB5</f>
        <v>Электрическая энергия, потребляемая при содержании общего имущества в МКД</v>
      </c>
      <c r="D28" s="46" t="s">
        <v>90</v>
      </c>
      <c r="E28" s="47">
        <f ca="1">SUMIF('ЖЭУ 3'!$D$5:$AF$6,'Ленина 1'!$C28,'ЖЭУ 3'!$D$30:$AF$30)</f>
        <v>1.0815779232266052</v>
      </c>
      <c r="G28" s="52"/>
    </row>
    <row r="29" spans="2:8" ht="25.15" customHeight="1" x14ac:dyDescent="0.2">
      <c r="B29" s="44">
        <v>2</v>
      </c>
      <c r="C29" s="45" t="str">
        <f>'ЖЭУ 3'!AC5</f>
        <v>Холодная вода, потребляемая при содержании общего имущества в МКД</v>
      </c>
      <c r="D29" s="46" t="s">
        <v>90</v>
      </c>
      <c r="E29" s="47">
        <f ca="1">SUMIF('ЖЭУ 3'!$D$5:$AF$6,'Ленина 1'!$C29,'ЖЭУ 3'!$D$30:$AF$30)</f>
        <v>0.17599124004953118</v>
      </c>
      <c r="G29" s="52">
        <f ca="1">SUM(E28:E32)</f>
        <v>2.1823940067220939</v>
      </c>
      <c r="H29" s="52">
        <f ca="1">G29-'ЖЭУ 3'!AJ30</f>
        <v>0</v>
      </c>
    </row>
    <row r="30" spans="2:8" ht="27.6" customHeight="1" x14ac:dyDescent="0.2">
      <c r="B30" s="44">
        <v>3</v>
      </c>
      <c r="C30" s="45" t="str">
        <f>'ЖЭУ 3'!AD5</f>
        <v>Холодная вода в составе горячей на содержание общего имущества МКД</v>
      </c>
      <c r="D30" s="46" t="s">
        <v>90</v>
      </c>
      <c r="E30" s="47">
        <f ca="1">SUMIF('ЖЭУ 3'!$D$5:$AF$6,'Ленина 1'!$C30,'ЖЭУ 3'!$D$30:$AF$30)</f>
        <v>0.5855316469131433</v>
      </c>
    </row>
    <row r="31" spans="2:8" ht="27.6" customHeight="1" x14ac:dyDescent="0.2">
      <c r="B31" s="44">
        <v>4</v>
      </c>
      <c r="C31" s="45" t="str">
        <f>'ЖЭУ 3'!AE5</f>
        <v>Горячая вода, потребляемая при содержании общего имущества в МКД</v>
      </c>
      <c r="D31" s="46" t="s">
        <v>90</v>
      </c>
      <c r="E31" s="47">
        <f ca="1">SUMIF('ЖЭУ 3'!$D$5:$AF$6,'Ленина 1'!$C31,'ЖЭУ 3'!$D$30:$AF$30)</f>
        <v>0</v>
      </c>
    </row>
    <row r="32" spans="2:8" ht="27.6" customHeight="1" thickBot="1" x14ac:dyDescent="0.25">
      <c r="B32" s="48">
        <v>5</v>
      </c>
      <c r="C32" s="49" t="str">
        <f>'ЖЭУ 3'!AF5</f>
        <v>Водоотведение при содержании общего имущества в МКД</v>
      </c>
      <c r="D32" s="50" t="s">
        <v>90</v>
      </c>
      <c r="E32" s="51">
        <f ca="1">SUMIF('ЖЭУ 3'!$D$5:$AF$6,'Ленина 1'!$C32,'ЖЭУ 3'!$D$30:$AF$30)</f>
        <v>0.33929319653281437</v>
      </c>
    </row>
    <row r="33" spans="2:8" ht="11.45" customHeight="1" x14ac:dyDescent="0.2">
      <c r="B33" s="53"/>
      <c r="C33" s="59"/>
      <c r="D33" s="55"/>
      <c r="E33" s="56"/>
    </row>
    <row r="34" spans="2:8" ht="21.6" customHeight="1" x14ac:dyDescent="0.2">
      <c r="B34" s="116" t="s">
        <v>92</v>
      </c>
      <c r="C34" s="116"/>
      <c r="D34" s="116"/>
      <c r="E34" s="116"/>
      <c r="G34" s="58"/>
    </row>
    <row r="35" spans="2:8" ht="15" customHeight="1" x14ac:dyDescent="0.2">
      <c r="B35" s="116"/>
      <c r="C35" s="116"/>
      <c r="D35" s="116"/>
      <c r="E35" s="116"/>
      <c r="H35" s="52"/>
    </row>
    <row r="36" spans="2:8" x14ac:dyDescent="0.2">
      <c r="B36" s="57"/>
      <c r="C36" s="59"/>
      <c r="D36" s="55"/>
      <c r="E36" s="56"/>
      <c r="G36" s="60"/>
      <c r="H36" s="61"/>
    </row>
    <row r="37" spans="2:8" x14ac:dyDescent="0.2">
      <c r="B37" s="117"/>
      <c r="C37" s="117"/>
      <c r="G37" s="60"/>
      <c r="H37" s="62"/>
    </row>
    <row r="38" spans="2:8" x14ac:dyDescent="0.2">
      <c r="B38" s="118" t="s">
        <v>93</v>
      </c>
      <c r="C38" s="118"/>
      <c r="E38" s="42" t="s">
        <v>94</v>
      </c>
      <c r="H38" s="63"/>
    </row>
  </sheetData>
  <mergeCells count="10">
    <mergeCell ref="B27:E27"/>
    <mergeCell ref="B34:E35"/>
    <mergeCell ref="B37:C37"/>
    <mergeCell ref="B38:C38"/>
    <mergeCell ref="B4:E4"/>
    <mergeCell ref="B5:B6"/>
    <mergeCell ref="C5:C6"/>
    <mergeCell ref="D5:D6"/>
    <mergeCell ref="E5:E6"/>
    <mergeCell ref="B26:C26"/>
  </mergeCells>
  <pageMargins left="0.7" right="0.7" top="0.75" bottom="0.75" header="0.3" footer="0.3"/>
  <pageSetup paperSize="9" scale="6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view="pageBreakPreview" zoomScale="75" zoomScaleNormal="100" zoomScaleSheetLayoutView="75" workbookViewId="0">
      <selection activeCell="F1" sqref="F1:F2"/>
    </sheetView>
  </sheetViews>
  <sheetFormatPr defaultColWidth="8.85546875" defaultRowHeight="12.75" x14ac:dyDescent="0.2"/>
  <cols>
    <col min="1" max="1" width="3.42578125" style="41" customWidth="1"/>
    <col min="2" max="2" width="4.85546875" style="41" customWidth="1"/>
    <col min="3" max="3" width="43.7109375" style="41" customWidth="1"/>
    <col min="4" max="4" width="9" style="41" bestFit="1" customWidth="1"/>
    <col min="5" max="5" width="12.5703125" style="42" customWidth="1"/>
    <col min="6" max="16384" width="8.85546875" style="41"/>
  </cols>
  <sheetData>
    <row r="1" spans="2:9" x14ac:dyDescent="0.2">
      <c r="F1" s="43" t="s">
        <v>85</v>
      </c>
    </row>
    <row r="2" spans="2:9" ht="15" x14ac:dyDescent="0.35">
      <c r="F2" s="90" t="s">
        <v>139</v>
      </c>
    </row>
    <row r="3" spans="2:9" ht="13.5" thickBot="1" x14ac:dyDescent="0.25">
      <c r="I3" s="41" t="s">
        <v>120</v>
      </c>
    </row>
    <row r="4" spans="2:9" ht="24" customHeight="1" x14ac:dyDescent="0.2">
      <c r="B4" s="119" t="str">
        <f>CONCATENATE($I$4,$I$3)</f>
        <v>Размер платы на содержание общего имущества многоквартирного дома№ 12А ул. Мира</v>
      </c>
      <c r="C4" s="120"/>
      <c r="D4" s="120"/>
      <c r="E4" s="121"/>
      <c r="I4" s="41" t="s">
        <v>96</v>
      </c>
    </row>
    <row r="5" spans="2:9" ht="13.9" customHeight="1" x14ac:dyDescent="0.2">
      <c r="B5" s="122" t="s">
        <v>1</v>
      </c>
      <c r="C5" s="123" t="s">
        <v>87</v>
      </c>
      <c r="D5" s="124" t="s">
        <v>88</v>
      </c>
      <c r="E5" s="125" t="s">
        <v>89</v>
      </c>
      <c r="I5" s="41" t="s">
        <v>97</v>
      </c>
    </row>
    <row r="6" spans="2:9" x14ac:dyDescent="0.2">
      <c r="B6" s="122"/>
      <c r="C6" s="123"/>
      <c r="D6" s="124"/>
      <c r="E6" s="125"/>
    </row>
    <row r="7" spans="2:9" ht="41.45" customHeight="1" x14ac:dyDescent="0.2">
      <c r="B7" s="44">
        <v>1</v>
      </c>
      <c r="C7" s="45" t="str">
        <f>'ЖЭУ 3'!D5</f>
        <v xml:space="preserve">Управление  многоквартирным домом   </v>
      </c>
      <c r="D7" s="46" t="s">
        <v>90</v>
      </c>
      <c r="E7" s="47">
        <f ca="1">SUMIF('ЖЭУ 3'!$D$5:$AF$6,'Ленина 1'!$C7,'ЖЭУ 3'!$D$31:$AF$31)</f>
        <v>5.04</v>
      </c>
    </row>
    <row r="8" spans="2:9" ht="41.45" customHeight="1" x14ac:dyDescent="0.2">
      <c r="B8" s="44">
        <v>2</v>
      </c>
      <c r="C8" s="45" t="str">
        <f>'ЖЭУ 3'!E5</f>
        <v>Уборка и санитарно-гигиеническая очистка 
лестничных клеток</v>
      </c>
      <c r="D8" s="46" t="s">
        <v>90</v>
      </c>
      <c r="E8" s="47">
        <f ca="1">SUMIF('ЖЭУ 3'!$D$5:$AF$6,'Ленина 1'!$C8,'ЖЭУ 3'!$D$31:$AF$31)</f>
        <v>4.53</v>
      </c>
    </row>
    <row r="9" spans="2:9" ht="41.45" customHeight="1" x14ac:dyDescent="0.2">
      <c r="B9" s="44">
        <v>3</v>
      </c>
      <c r="C9" s="45" t="str">
        <f>'ЖЭУ 3'!F5</f>
        <v>Уборка и санитарно-гигиеническая очистка земельного участка и контейнерных площадок</v>
      </c>
      <c r="D9" s="46" t="s">
        <v>90</v>
      </c>
      <c r="E9" s="47">
        <f ca="1">SUMIF('ЖЭУ 3'!$D$5:$AF$6,'Ленина 1'!$C9,'ЖЭУ 3'!$D$31:$AF$31)</f>
        <v>7.55</v>
      </c>
    </row>
    <row r="10" spans="2:9" ht="41.45" customHeight="1" x14ac:dyDescent="0.2">
      <c r="B10" s="44">
        <v>4</v>
      </c>
      <c r="C10" s="45" t="str">
        <f>'ЖЭУ 3'!G5</f>
        <v>Содержание и техническое обслуживание конструктивных элементов</v>
      </c>
      <c r="D10" s="46" t="s">
        <v>90</v>
      </c>
      <c r="E10" s="47">
        <f ca="1">SUMIF('ЖЭУ 3'!$D$5:$AF$6,'Ленина 1'!$C10,'ЖЭУ 3'!$D$31:$AF$31)</f>
        <v>3.04</v>
      </c>
    </row>
    <row r="11" spans="2:9" ht="41.45" customHeight="1" x14ac:dyDescent="0.2">
      <c r="B11" s="44">
        <v>5</v>
      </c>
      <c r="C11" s="45" t="str">
        <f>'ЖЭУ 3'!H5</f>
        <v>Содержание и техническое обслуживание внутридомовых систем холодного и горячего водоснабжения, отопления и канализации</v>
      </c>
      <c r="D11" s="46" t="s">
        <v>90</v>
      </c>
      <c r="E11" s="47">
        <f ca="1">SUMIF('ЖЭУ 3'!$D$5:$AF$6,'Ленина 1'!$C11,'ЖЭУ 3'!$D$31:$AF$31)</f>
        <v>3.19</v>
      </c>
    </row>
    <row r="12" spans="2:9" ht="41.45" customHeight="1" x14ac:dyDescent="0.2">
      <c r="B12" s="44">
        <v>6</v>
      </c>
      <c r="C12" s="45" t="str">
        <f>'ЖЭУ 3'!I5</f>
        <v>Содержание и техническое обслуживание внутридомовых систем электроснабжения</v>
      </c>
      <c r="D12" s="46" t="s">
        <v>90</v>
      </c>
      <c r="E12" s="47">
        <f ca="1">SUMIF('ЖЭУ 3'!$D$5:$AF$6,'Ленина 1'!$C12,'ЖЭУ 3'!$D$31:$AF$31)</f>
        <v>2.48</v>
      </c>
    </row>
    <row r="13" spans="2:9" ht="41.45" customHeight="1" x14ac:dyDescent="0.2">
      <c r="B13" s="44">
        <v>7</v>
      </c>
      <c r="C13" s="45" t="str">
        <f>'ЖЭУ 3'!J5</f>
        <v>Текущий ремонт МКД</v>
      </c>
      <c r="D13" s="46" t="s">
        <v>90</v>
      </c>
      <c r="E13" s="47">
        <f ca="1">SUMIF('ЖЭУ 3'!$D$5:$AF$6,'Ленина 1'!$C13,'ЖЭУ 3'!$D$31:$AF$31)</f>
        <v>8.8849999999999998</v>
      </c>
    </row>
    <row r="14" spans="2:9" ht="41.45" customHeight="1" x14ac:dyDescent="0.2">
      <c r="B14" s="44">
        <v>8</v>
      </c>
      <c r="C14" s="45" t="str">
        <f>'ЖЭУ 3'!P5</f>
        <v>Дератизация, дезинсекция помещений</v>
      </c>
      <c r="D14" s="46" t="s">
        <v>90</v>
      </c>
      <c r="E14" s="47">
        <f ca="1">SUMIF('ЖЭУ 3'!$D$5:$AF$6,'Ленина 1'!$C14,'ЖЭУ 3'!$D$31:$AF$31)</f>
        <v>0.11</v>
      </c>
    </row>
    <row r="15" spans="2:9" ht="41.45" customHeight="1" x14ac:dyDescent="0.2">
      <c r="B15" s="44">
        <v>9</v>
      </c>
      <c r="C15" s="45" t="str">
        <f>'ЖЭУ 3'!Q5</f>
        <v>Благоустройство придомовой территории</v>
      </c>
      <c r="D15" s="46" t="s">
        <v>90</v>
      </c>
      <c r="E15" s="47">
        <f ca="1">SUMIF('ЖЭУ 3'!$D$5:$AF$6,'Ленина 1'!$C15,'ЖЭУ 3'!$D$31:$AF$31)</f>
        <v>0.37</v>
      </c>
    </row>
    <row r="16" spans="2:9" ht="41.45" customHeight="1" x14ac:dyDescent="0.2">
      <c r="B16" s="44">
        <v>10</v>
      </c>
      <c r="C16" s="45" t="str">
        <f>'ЖЭУ 3'!R5</f>
        <v>Сбор и вывоз твердых коммунальных отходов</v>
      </c>
      <c r="D16" s="46" t="s">
        <v>90</v>
      </c>
      <c r="E16" s="47">
        <f ca="1">SUMIF('ЖЭУ 3'!$D$5:$AF$6,'Ленина 1'!$C16,'ЖЭУ 3'!$D$31:$AF$31)</f>
        <v>1.38</v>
      </c>
    </row>
    <row r="17" spans="2:8" ht="41.45" customHeight="1" x14ac:dyDescent="0.2">
      <c r="B17" s="44">
        <v>11</v>
      </c>
      <c r="C17" s="45" t="str">
        <f>'ЖЭУ 3'!S5</f>
        <v>Механизированная уборка территорий от снега</v>
      </c>
      <c r="D17" s="46" t="s">
        <v>90</v>
      </c>
      <c r="E17" s="47">
        <f ca="1">SUMIF('ЖЭУ 3'!$D$5:$AF$6,'Ленина 1'!$C17,'ЖЭУ 3'!$D$31:$AF$31)</f>
        <v>0.66</v>
      </c>
    </row>
    <row r="18" spans="2:8" ht="41.45" customHeight="1" x14ac:dyDescent="0.2">
      <c r="B18" s="44">
        <v>12</v>
      </c>
      <c r="C18" s="45" t="str">
        <f>'ЖЭУ 3'!T5</f>
        <v>Содержание, техническое обслуживание КОДПУ тепловой энергии на отопление</v>
      </c>
      <c r="D18" s="46" t="s">
        <v>90</v>
      </c>
      <c r="E18" s="47">
        <f ca="1">SUMIF('ЖЭУ 3'!$D$5:$AF$6,'Ленина 1'!$C18,'ЖЭУ 3'!$D$31:$AF$31)</f>
        <v>0.5</v>
      </c>
    </row>
    <row r="19" spans="2:8" ht="41.45" customHeight="1" x14ac:dyDescent="0.2">
      <c r="B19" s="44">
        <v>13</v>
      </c>
      <c r="C19" s="45" t="str">
        <f>'ЖЭУ 3'!U5</f>
        <v>Содержание, техническое обслуживание КОДПУ горячего водоснабжения</v>
      </c>
      <c r="D19" s="46" t="s">
        <v>90</v>
      </c>
      <c r="E19" s="47">
        <f ca="1">SUMIF('ЖЭУ 3'!$D$5:$AF$6,'Ленина 1'!$C19,'ЖЭУ 3'!$D$31:$AF$31)</f>
        <v>0</v>
      </c>
    </row>
    <row r="20" spans="2:8" ht="41.45" customHeight="1" x14ac:dyDescent="0.2">
      <c r="B20" s="44">
        <v>14</v>
      </c>
      <c r="C20" s="45" t="str">
        <f>'ЖЭУ 3'!V5</f>
        <v>Содержание, техническое обслуживание КОДПУ холодного водоснабжения</v>
      </c>
      <c r="D20" s="46" t="s">
        <v>90</v>
      </c>
      <c r="E20" s="47">
        <f ca="1">SUMIF('ЖЭУ 3'!$D$5:$AF$6,'Ленина 1'!$C20,'ЖЭУ 3'!$D$31:$AF$31)</f>
        <v>0.36</v>
      </c>
    </row>
    <row r="21" spans="2:8" ht="41.45" customHeight="1" x14ac:dyDescent="0.2">
      <c r="B21" s="44">
        <v>15</v>
      </c>
      <c r="C21" s="45" t="str">
        <f>'ЖЭУ 3'!W5</f>
        <v>Поверка, замена вышедшего из строя оборудования коллективног ОПУ тепловой энергии на отопление</v>
      </c>
      <c r="D21" s="46" t="s">
        <v>90</v>
      </c>
      <c r="E21" s="47">
        <f ca="1">SUMIF('ЖЭУ 3'!$D$5:$AF$6,'Ленина 1'!$C21,'ЖЭУ 3'!$D$31:$AF$31)</f>
        <v>0.34</v>
      </c>
    </row>
    <row r="22" spans="2:8" ht="41.45" customHeight="1" x14ac:dyDescent="0.2">
      <c r="B22" s="44">
        <v>16</v>
      </c>
      <c r="C22" s="45" t="str">
        <f>'ЖЭУ 3'!X5</f>
        <v>Поверка, замена вышедшего из строя оборудования коллективног ОПУ горячего водоснабжения</v>
      </c>
      <c r="D22" s="46" t="s">
        <v>90</v>
      </c>
      <c r="E22" s="47">
        <f ca="1">SUMIF('ЖЭУ 3'!$D$5:$AF$6,'Ленина 1'!$C22,'ЖЭУ 3'!$D$31:$AF$31)</f>
        <v>0</v>
      </c>
      <c r="G22" s="52">
        <f ca="1">SUM(E7:E25)</f>
        <v>38.945</v>
      </c>
      <c r="H22" s="52">
        <f ca="1">G22-'ЖЭУ 3'!AK31</f>
        <v>0</v>
      </c>
    </row>
    <row r="23" spans="2:8" ht="33" customHeight="1" x14ac:dyDescent="0.2">
      <c r="B23" s="44">
        <v>17</v>
      </c>
      <c r="C23" s="45" t="str">
        <f>'ЖЭУ 3'!Y5</f>
        <v>Поверка, замена вышедшего из строя оборудования коллективног ОПУ холодного водоснабжения</v>
      </c>
      <c r="D23" s="46" t="s">
        <v>90</v>
      </c>
      <c r="E23" s="47">
        <f ca="1">SUMIF('ЖЭУ 3'!$D$5:$AF$6,'Ленина 1'!$C23,'ЖЭУ 3'!$D$31:$AF$31)</f>
        <v>0.14000000000000001</v>
      </c>
    </row>
    <row r="24" spans="2:8" ht="43.15" customHeight="1" x14ac:dyDescent="0.2">
      <c r="B24" s="44">
        <v>18</v>
      </c>
      <c r="C24" s="45" t="str">
        <f>'ЖЭУ 3'!Z5</f>
        <v>Поверка, замена вышедшего из строя оборудования коллективног ОПУ электрической энергии</v>
      </c>
      <c r="D24" s="46" t="s">
        <v>90</v>
      </c>
      <c r="E24" s="47">
        <f ca="1">SUMIF('ЖЭУ 3'!$D$5:$AF$6,'Ленина 1'!$C24,'ЖЭУ 3'!$D$31:$AF$31)</f>
        <v>0.37</v>
      </c>
    </row>
    <row r="25" spans="2:8" ht="31.9" customHeight="1" thickBot="1" x14ac:dyDescent="0.25">
      <c r="B25" s="48">
        <v>19</v>
      </c>
      <c r="C25" s="49" t="str">
        <f>'ЖЭУ 3'!AA5</f>
        <v>Техническое обслуживание систем аудидомофонной связи</v>
      </c>
      <c r="D25" s="50" t="s">
        <v>90</v>
      </c>
      <c r="E25" s="51">
        <f ca="1">SUMIF('ЖЭУ 3'!$D$5:$AF$6,'Ленина 1'!$C25,'ЖЭУ 3'!$D$31:$AF$31)</f>
        <v>0</v>
      </c>
    </row>
    <row r="26" spans="2:8" ht="11.45" customHeight="1" thickBot="1" x14ac:dyDescent="0.25">
      <c r="B26" s="116" t="s">
        <v>91</v>
      </c>
      <c r="C26" s="116"/>
    </row>
    <row r="27" spans="2:8" ht="25.15" customHeight="1" x14ac:dyDescent="0.2">
      <c r="B27" s="113" t="str">
        <f>CONCATENATE($I$5,$I$3)</f>
        <v>Расходы по коммунальным услугам, потребленным на содержание общего иммущества многоквартирного дома№ 12А ул. Мира</v>
      </c>
      <c r="C27" s="114"/>
      <c r="D27" s="114"/>
      <c r="E27" s="115"/>
    </row>
    <row r="28" spans="2:8" ht="25.15" customHeight="1" x14ac:dyDescent="0.2">
      <c r="B28" s="44">
        <v>1</v>
      </c>
      <c r="C28" s="45" t="str">
        <f>'ЖЭУ 3'!AB5</f>
        <v>Электрическая энергия, потребляемая при содержании общего имущества в МКД</v>
      </c>
      <c r="D28" s="46" t="s">
        <v>90</v>
      </c>
      <c r="E28" s="47">
        <f ca="1">SUMIF('ЖЭУ 3'!$D$5:$AF$6,'Ленина 1'!$C28,'ЖЭУ 3'!$D$31:$AF$31)</f>
        <v>0.97805699632845744</v>
      </c>
      <c r="G28" s="52"/>
    </row>
    <row r="29" spans="2:8" ht="25.15" customHeight="1" x14ac:dyDescent="0.2">
      <c r="B29" s="44">
        <v>2</v>
      </c>
      <c r="C29" s="45" t="str">
        <f>'ЖЭУ 3'!AC5</f>
        <v>Холодная вода, потребляемая при содержании общего имущества в МКД</v>
      </c>
      <c r="D29" s="46" t="s">
        <v>90</v>
      </c>
      <c r="E29" s="47">
        <f ca="1">SUMIF('ЖЭУ 3'!$D$5:$AF$6,'Ленина 1'!$C29,'ЖЭУ 3'!$D$31:$AF$31)</f>
        <v>0.14794021563028145</v>
      </c>
      <c r="G29" s="52">
        <f ca="1">SUM(E28:E32)</f>
        <v>1.9034153761874235</v>
      </c>
      <c r="H29" s="52">
        <f ca="1">G29-'ЖЭУ 3'!AJ31</f>
        <v>0</v>
      </c>
    </row>
    <row r="30" spans="2:8" ht="27.6" customHeight="1" x14ac:dyDescent="0.2">
      <c r="B30" s="44">
        <v>3</v>
      </c>
      <c r="C30" s="45" t="str">
        <f>'ЖЭУ 3'!AD5</f>
        <v>Холодная вода в составе горячей на содержание общего имущества МКД</v>
      </c>
      <c r="D30" s="46" t="s">
        <v>90</v>
      </c>
      <c r="E30" s="47">
        <f ca="1">SUMIF('ЖЭУ 3'!$D$5:$AF$6,'Ленина 1'!$C30,'ЖЭУ 3'!$D$31:$AF$31)</f>
        <v>0.49220448744099293</v>
      </c>
    </row>
    <row r="31" spans="2:8" ht="27.6" customHeight="1" x14ac:dyDescent="0.2">
      <c r="B31" s="44">
        <v>4</v>
      </c>
      <c r="C31" s="45" t="str">
        <f>'ЖЭУ 3'!AE5</f>
        <v>Горячая вода, потребляемая при содержании общего имущества в МКД</v>
      </c>
      <c r="D31" s="46" t="s">
        <v>90</v>
      </c>
      <c r="E31" s="47">
        <f ca="1">SUMIF('ЖЭУ 3'!$D$5:$AF$6,'Ленина 1'!$C31,'ЖЭУ 3'!$D$31:$AF$31)</f>
        <v>0</v>
      </c>
    </row>
    <row r="32" spans="2:8" ht="27.6" customHeight="1" thickBot="1" x14ac:dyDescent="0.25">
      <c r="B32" s="48">
        <v>5</v>
      </c>
      <c r="C32" s="49" t="str">
        <f>'ЖЭУ 3'!AF5</f>
        <v>Водоотведение при содержании общего имущества в МКД</v>
      </c>
      <c r="D32" s="50" t="s">
        <v>90</v>
      </c>
      <c r="E32" s="51">
        <f ca="1">SUMIF('ЖЭУ 3'!$D$5:$AF$6,'Ленина 1'!$C32,'ЖЭУ 3'!$D$31:$AF$31)</f>
        <v>0.28521367678769155</v>
      </c>
    </row>
    <row r="33" spans="2:8" ht="11.45" customHeight="1" x14ac:dyDescent="0.2">
      <c r="B33" s="53"/>
      <c r="C33" s="59"/>
      <c r="D33" s="55"/>
      <c r="E33" s="56"/>
    </row>
    <row r="34" spans="2:8" ht="21.6" customHeight="1" x14ac:dyDescent="0.2">
      <c r="B34" s="116" t="s">
        <v>92</v>
      </c>
      <c r="C34" s="116"/>
      <c r="D34" s="116"/>
      <c r="E34" s="116"/>
      <c r="G34" s="58"/>
    </row>
    <row r="35" spans="2:8" ht="15" customHeight="1" x14ac:dyDescent="0.2">
      <c r="B35" s="116"/>
      <c r="C35" s="116"/>
      <c r="D35" s="116"/>
      <c r="E35" s="116"/>
      <c r="H35" s="52"/>
    </row>
    <row r="36" spans="2:8" x14ac:dyDescent="0.2">
      <c r="B36" s="57"/>
      <c r="C36" s="59"/>
      <c r="D36" s="55"/>
      <c r="E36" s="56"/>
      <c r="G36" s="60"/>
      <c r="H36" s="61"/>
    </row>
    <row r="37" spans="2:8" x14ac:dyDescent="0.2">
      <c r="B37" s="117"/>
      <c r="C37" s="117"/>
      <c r="G37" s="60"/>
      <c r="H37" s="62"/>
    </row>
    <row r="38" spans="2:8" x14ac:dyDescent="0.2">
      <c r="B38" s="118" t="s">
        <v>93</v>
      </c>
      <c r="C38" s="118"/>
      <c r="E38" s="42" t="s">
        <v>94</v>
      </c>
      <c r="H38" s="63"/>
    </row>
  </sheetData>
  <mergeCells count="10">
    <mergeCell ref="B27:E27"/>
    <mergeCell ref="B34:E35"/>
    <mergeCell ref="B37:C37"/>
    <mergeCell ref="B38:C38"/>
    <mergeCell ref="B4:E4"/>
    <mergeCell ref="B5:B6"/>
    <mergeCell ref="C5:C6"/>
    <mergeCell ref="D5:D6"/>
    <mergeCell ref="E5:E6"/>
    <mergeCell ref="B26:C26"/>
  </mergeCells>
  <pageMargins left="0.7" right="0.7" top="0.75" bottom="0.75" header="0.3" footer="0.3"/>
  <pageSetup paperSize="9" scale="6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view="pageBreakPreview" zoomScale="75" zoomScaleNormal="100" zoomScaleSheetLayoutView="75" workbookViewId="0">
      <selection activeCell="F1" sqref="F1:F2"/>
    </sheetView>
  </sheetViews>
  <sheetFormatPr defaultColWidth="8.85546875" defaultRowHeight="12.75" x14ac:dyDescent="0.2"/>
  <cols>
    <col min="1" max="1" width="3.42578125" style="41" customWidth="1"/>
    <col min="2" max="2" width="4.85546875" style="41" customWidth="1"/>
    <col min="3" max="3" width="43.7109375" style="41" customWidth="1"/>
    <col min="4" max="4" width="9" style="41" bestFit="1" customWidth="1"/>
    <col min="5" max="5" width="12.5703125" style="42" customWidth="1"/>
    <col min="6" max="16384" width="8.85546875" style="41"/>
  </cols>
  <sheetData>
    <row r="1" spans="2:9" x14ac:dyDescent="0.2">
      <c r="F1" s="43" t="s">
        <v>85</v>
      </c>
    </row>
    <row r="2" spans="2:9" ht="15" x14ac:dyDescent="0.35">
      <c r="F2" s="90" t="s">
        <v>139</v>
      </c>
    </row>
    <row r="3" spans="2:9" ht="13.5" thickBot="1" x14ac:dyDescent="0.25">
      <c r="I3" s="41" t="s">
        <v>121</v>
      </c>
    </row>
    <row r="4" spans="2:9" ht="24" customHeight="1" x14ac:dyDescent="0.2">
      <c r="B4" s="119" t="str">
        <f>CONCATENATE($I$4,$I$3)</f>
        <v>Размер платы на содержание общего имущества многоквартирного дома№ 12Б ул. Мира</v>
      </c>
      <c r="C4" s="120"/>
      <c r="D4" s="120"/>
      <c r="E4" s="121"/>
      <c r="I4" s="41" t="s">
        <v>96</v>
      </c>
    </row>
    <row r="5" spans="2:9" ht="13.9" customHeight="1" x14ac:dyDescent="0.2">
      <c r="B5" s="122" t="s">
        <v>1</v>
      </c>
      <c r="C5" s="123" t="s">
        <v>87</v>
      </c>
      <c r="D5" s="124" t="s">
        <v>88</v>
      </c>
      <c r="E5" s="125" t="s">
        <v>89</v>
      </c>
      <c r="I5" s="41" t="s">
        <v>97</v>
      </c>
    </row>
    <row r="6" spans="2:9" x14ac:dyDescent="0.2">
      <c r="B6" s="122"/>
      <c r="C6" s="123"/>
      <c r="D6" s="124"/>
      <c r="E6" s="125"/>
    </row>
    <row r="7" spans="2:9" ht="41.45" customHeight="1" x14ac:dyDescent="0.2">
      <c r="B7" s="44">
        <v>1</v>
      </c>
      <c r="C7" s="45" t="str">
        <f>'ЖЭУ 3'!D5</f>
        <v xml:space="preserve">Управление  многоквартирным домом   </v>
      </c>
      <c r="D7" s="46" t="s">
        <v>90</v>
      </c>
      <c r="E7" s="47">
        <f ca="1">SUMIF('ЖЭУ 3'!$D$5:$AF$6,'Ленина 1'!$C7,'ЖЭУ 3'!$D$32:$AF$32)</f>
        <v>5.04</v>
      </c>
    </row>
    <row r="8" spans="2:9" ht="41.45" customHeight="1" x14ac:dyDescent="0.2">
      <c r="B8" s="44">
        <v>2</v>
      </c>
      <c r="C8" s="45" t="str">
        <f>'ЖЭУ 3'!E5</f>
        <v>Уборка и санитарно-гигиеническая очистка 
лестничных клеток</v>
      </c>
      <c r="D8" s="46" t="s">
        <v>90</v>
      </c>
      <c r="E8" s="47">
        <f ca="1">SUMIF('ЖЭУ 3'!$D$5:$AF$6,'Ленина 1'!$C8,'ЖЭУ 3'!$D$32:$AF$32)</f>
        <v>4.37</v>
      </c>
    </row>
    <row r="9" spans="2:9" ht="41.45" customHeight="1" x14ac:dyDescent="0.2">
      <c r="B9" s="44">
        <v>3</v>
      </c>
      <c r="C9" s="45" t="str">
        <f>'ЖЭУ 3'!F5</f>
        <v>Уборка и санитарно-гигиеническая очистка земельного участка и контейнерных площадок</v>
      </c>
      <c r="D9" s="46" t="s">
        <v>90</v>
      </c>
      <c r="E9" s="47">
        <f ca="1">SUMIF('ЖЭУ 3'!$D$5:$AF$6,'Ленина 1'!$C9,'ЖЭУ 3'!$D$32:$AF$32)</f>
        <v>6.06</v>
      </c>
    </row>
    <row r="10" spans="2:9" ht="41.45" customHeight="1" x14ac:dyDescent="0.2">
      <c r="B10" s="44">
        <v>4</v>
      </c>
      <c r="C10" s="45" t="str">
        <f>'ЖЭУ 3'!G5</f>
        <v>Содержание и техническое обслуживание конструктивных элементов</v>
      </c>
      <c r="D10" s="46" t="s">
        <v>90</v>
      </c>
      <c r="E10" s="47">
        <f ca="1">SUMIF('ЖЭУ 3'!$D$5:$AF$6,'Ленина 1'!$C10,'ЖЭУ 3'!$D$32:$AF$32)</f>
        <v>2.86</v>
      </c>
    </row>
    <row r="11" spans="2:9" ht="41.45" customHeight="1" x14ac:dyDescent="0.2">
      <c r="B11" s="44">
        <v>5</v>
      </c>
      <c r="C11" s="45" t="str">
        <f>'ЖЭУ 3'!H5</f>
        <v>Содержание и техническое обслуживание внутридомовых систем холодного и горячего водоснабжения, отопления и канализации</v>
      </c>
      <c r="D11" s="46" t="s">
        <v>90</v>
      </c>
      <c r="E11" s="47">
        <f ca="1">SUMIF('ЖЭУ 3'!$D$5:$AF$6,'Ленина 1'!$C11,'ЖЭУ 3'!$D$32:$AF$32)</f>
        <v>3.07</v>
      </c>
    </row>
    <row r="12" spans="2:9" ht="41.45" customHeight="1" x14ac:dyDescent="0.2">
      <c r="B12" s="44">
        <v>6</v>
      </c>
      <c r="C12" s="45" t="str">
        <f>'ЖЭУ 3'!I5</f>
        <v>Содержание и техническое обслуживание внутридомовых систем электроснабжения</v>
      </c>
      <c r="D12" s="46" t="s">
        <v>90</v>
      </c>
      <c r="E12" s="47">
        <f ca="1">SUMIF('ЖЭУ 3'!$D$5:$AF$6,'Ленина 1'!$C12,'ЖЭУ 3'!$D$32:$AF$32)</f>
        <v>2.5</v>
      </c>
    </row>
    <row r="13" spans="2:9" ht="41.45" customHeight="1" x14ac:dyDescent="0.2">
      <c r="B13" s="44">
        <v>7</v>
      </c>
      <c r="C13" s="45" t="str">
        <f>'ЖЭУ 3'!J5</f>
        <v>Текущий ремонт МКД</v>
      </c>
      <c r="D13" s="46" t="s">
        <v>90</v>
      </c>
      <c r="E13" s="47">
        <f ca="1">SUMIF('ЖЭУ 3'!$D$5:$AF$6,'Ленина 1'!$C13,'ЖЭУ 3'!$D$32:$AF$32)</f>
        <v>11.645</v>
      </c>
    </row>
    <row r="14" spans="2:9" ht="41.45" customHeight="1" x14ac:dyDescent="0.2">
      <c r="B14" s="44">
        <v>8</v>
      </c>
      <c r="C14" s="45" t="str">
        <f>'ЖЭУ 3'!P5</f>
        <v>Дератизация, дезинсекция помещений</v>
      </c>
      <c r="D14" s="46" t="s">
        <v>90</v>
      </c>
      <c r="E14" s="47">
        <f ca="1">SUMIF('ЖЭУ 3'!$D$5:$AF$6,'Ленина 1'!$C14,'ЖЭУ 3'!$D$32:$AF$32)</f>
        <v>0.11</v>
      </c>
    </row>
    <row r="15" spans="2:9" ht="41.45" customHeight="1" x14ac:dyDescent="0.2">
      <c r="B15" s="44">
        <v>9</v>
      </c>
      <c r="C15" s="45" t="str">
        <f>'ЖЭУ 3'!Q5</f>
        <v>Благоустройство придомовой территории</v>
      </c>
      <c r="D15" s="46" t="s">
        <v>90</v>
      </c>
      <c r="E15" s="47">
        <f ca="1">SUMIF('ЖЭУ 3'!$D$5:$AF$6,'Ленина 1'!$C15,'ЖЭУ 3'!$D$32:$AF$32)</f>
        <v>0.37</v>
      </c>
    </row>
    <row r="16" spans="2:9" ht="41.45" customHeight="1" x14ac:dyDescent="0.2">
      <c r="B16" s="44">
        <v>10</v>
      </c>
      <c r="C16" s="45" t="str">
        <f>'ЖЭУ 3'!R5</f>
        <v>Сбор и вывоз твердых коммунальных отходов</v>
      </c>
      <c r="D16" s="46" t="s">
        <v>90</v>
      </c>
      <c r="E16" s="47">
        <f ca="1">SUMIF('ЖЭУ 3'!$D$5:$AF$6,'Ленина 1'!$C16,'ЖЭУ 3'!$D$32:$AF$32)</f>
        <v>0.9</v>
      </c>
    </row>
    <row r="17" spans="2:8" ht="41.45" customHeight="1" x14ac:dyDescent="0.2">
      <c r="B17" s="44">
        <v>11</v>
      </c>
      <c r="C17" s="45" t="str">
        <f>'ЖЭУ 3'!S5</f>
        <v>Механизированная уборка территорий от снега</v>
      </c>
      <c r="D17" s="46" t="s">
        <v>90</v>
      </c>
      <c r="E17" s="47">
        <f ca="1">SUMIF('ЖЭУ 3'!$D$5:$AF$6,'Ленина 1'!$C17,'ЖЭУ 3'!$D$32:$AF$32)</f>
        <v>0.46</v>
      </c>
    </row>
    <row r="18" spans="2:8" ht="41.45" customHeight="1" x14ac:dyDescent="0.2">
      <c r="B18" s="44">
        <v>12</v>
      </c>
      <c r="C18" s="45" t="str">
        <f>'ЖЭУ 3'!T5</f>
        <v>Содержание, техническое обслуживание КОДПУ тепловой энергии на отопление</v>
      </c>
      <c r="D18" s="46" t="s">
        <v>90</v>
      </c>
      <c r="E18" s="47">
        <f ca="1">SUMIF('ЖЭУ 3'!$D$5:$AF$6,'Ленина 1'!$C18,'ЖЭУ 3'!$D$32:$AF$32)</f>
        <v>0</v>
      </c>
    </row>
    <row r="19" spans="2:8" ht="41.45" customHeight="1" x14ac:dyDescent="0.2">
      <c r="B19" s="44">
        <v>13</v>
      </c>
      <c r="C19" s="45" t="str">
        <f>'ЖЭУ 3'!U5</f>
        <v>Содержание, техническое обслуживание КОДПУ горячего водоснабжения</v>
      </c>
      <c r="D19" s="46" t="s">
        <v>90</v>
      </c>
      <c r="E19" s="47">
        <f ca="1">SUMIF('ЖЭУ 3'!$D$5:$AF$6,'Ленина 1'!$C19,'ЖЭУ 3'!$D$32:$AF$32)</f>
        <v>0</v>
      </c>
    </row>
    <row r="20" spans="2:8" ht="41.45" customHeight="1" x14ac:dyDescent="0.2">
      <c r="B20" s="44">
        <v>14</v>
      </c>
      <c r="C20" s="45" t="str">
        <f>'ЖЭУ 3'!V5</f>
        <v>Содержание, техническое обслуживание КОДПУ холодного водоснабжения</v>
      </c>
      <c r="D20" s="46" t="s">
        <v>90</v>
      </c>
      <c r="E20" s="47">
        <f ca="1">SUMIF('ЖЭУ 3'!$D$5:$AF$6,'Ленина 1'!$C20,'ЖЭУ 3'!$D$32:$AF$32)</f>
        <v>0</v>
      </c>
    </row>
    <row r="21" spans="2:8" ht="41.45" customHeight="1" x14ac:dyDescent="0.2">
      <c r="B21" s="44">
        <v>15</v>
      </c>
      <c r="C21" s="45" t="str">
        <f>'ЖЭУ 3'!W5</f>
        <v>Поверка, замена вышедшего из строя оборудования коллективног ОПУ тепловой энергии на отопление</v>
      </c>
      <c r="D21" s="46" t="s">
        <v>90</v>
      </c>
      <c r="E21" s="47">
        <f ca="1">SUMIF('ЖЭУ 3'!$D$5:$AF$6,'Ленина 1'!$C21,'ЖЭУ 3'!$D$32:$AF$32)</f>
        <v>0</v>
      </c>
    </row>
    <row r="22" spans="2:8" ht="41.45" customHeight="1" x14ac:dyDescent="0.2">
      <c r="B22" s="44">
        <v>16</v>
      </c>
      <c r="C22" s="45" t="str">
        <f>'ЖЭУ 3'!X5</f>
        <v>Поверка, замена вышедшего из строя оборудования коллективног ОПУ горячего водоснабжения</v>
      </c>
      <c r="D22" s="46" t="s">
        <v>90</v>
      </c>
      <c r="E22" s="47">
        <f ca="1">SUMIF('ЖЭУ 3'!$D$5:$AF$6,'Ленина 1'!$C22,'ЖЭУ 3'!$D$32:$AF$32)</f>
        <v>0</v>
      </c>
      <c r="G22" s="52">
        <f ca="1">SUM(E7:E25)</f>
        <v>38.055</v>
      </c>
      <c r="H22" s="52">
        <f ca="1">G22-'ЖЭУ 3'!AK32</f>
        <v>0</v>
      </c>
    </row>
    <row r="23" spans="2:8" ht="33" customHeight="1" x14ac:dyDescent="0.2">
      <c r="B23" s="44">
        <v>17</v>
      </c>
      <c r="C23" s="45" t="str">
        <f>'ЖЭУ 3'!Y5</f>
        <v>Поверка, замена вышедшего из строя оборудования коллективног ОПУ холодного водоснабжения</v>
      </c>
      <c r="D23" s="46" t="s">
        <v>90</v>
      </c>
      <c r="E23" s="47">
        <f ca="1">SUMIF('ЖЭУ 3'!$D$5:$AF$6,'Ленина 1'!$C23,'ЖЭУ 3'!$D$32:$AF$32)</f>
        <v>0</v>
      </c>
    </row>
    <row r="24" spans="2:8" ht="43.15" customHeight="1" x14ac:dyDescent="0.2">
      <c r="B24" s="44">
        <v>18</v>
      </c>
      <c r="C24" s="45" t="str">
        <f>'ЖЭУ 3'!Z5</f>
        <v>Поверка, замена вышедшего из строя оборудования коллективног ОПУ электрической энергии</v>
      </c>
      <c r="D24" s="46" t="s">
        <v>90</v>
      </c>
      <c r="E24" s="47">
        <f ca="1">SUMIF('ЖЭУ 3'!$D$5:$AF$6,'Ленина 1'!$C24,'ЖЭУ 3'!$D$32:$AF$32)</f>
        <v>0.67</v>
      </c>
    </row>
    <row r="25" spans="2:8" ht="31.9" customHeight="1" thickBot="1" x14ac:dyDescent="0.25">
      <c r="B25" s="48">
        <v>19</v>
      </c>
      <c r="C25" s="49" t="str">
        <f>'ЖЭУ 3'!AA5</f>
        <v>Техническое обслуживание систем аудидомофонной связи</v>
      </c>
      <c r="D25" s="50" t="s">
        <v>90</v>
      </c>
      <c r="E25" s="51">
        <f ca="1">SUMIF('ЖЭУ 3'!$D$5:$AF$6,'Ленина 1'!$C25,'ЖЭУ 3'!$D$32:$AF$32)</f>
        <v>0</v>
      </c>
    </row>
    <row r="26" spans="2:8" ht="11.45" customHeight="1" thickBot="1" x14ac:dyDescent="0.25">
      <c r="B26" s="116" t="s">
        <v>91</v>
      </c>
      <c r="C26" s="116"/>
    </row>
    <row r="27" spans="2:8" ht="25.15" customHeight="1" x14ac:dyDescent="0.2">
      <c r="B27" s="113" t="str">
        <f>CONCATENATE($I$5,$I$3)</f>
        <v>Расходы по коммунальным услугам, потребленным на содержание общего иммущества многоквартирного дома№ 12Б ул. Мира</v>
      </c>
      <c r="C27" s="114"/>
      <c r="D27" s="114"/>
      <c r="E27" s="115"/>
    </row>
    <row r="28" spans="2:8" ht="25.15" customHeight="1" x14ac:dyDescent="0.2">
      <c r="B28" s="44">
        <v>1</v>
      </c>
      <c r="C28" s="45" t="str">
        <f>'ЖЭУ 3'!AB5</f>
        <v>Электрическая энергия, потребляемая при содержании общего имущества в МКД</v>
      </c>
      <c r="D28" s="46" t="s">
        <v>90</v>
      </c>
      <c r="E28" s="47">
        <f ca="1">SUMIF('ЖЭУ 3'!$D$5:$AF$6,'Ленина 1'!$C28,'ЖЭУ 3'!$D$32:$AF$32)</f>
        <v>1.0809656925031765</v>
      </c>
      <c r="G28" s="52"/>
    </row>
    <row r="29" spans="2:8" ht="25.15" customHeight="1" x14ac:dyDescent="0.2">
      <c r="B29" s="44">
        <v>2</v>
      </c>
      <c r="C29" s="45" t="str">
        <f>'ЖЭУ 3'!AC5</f>
        <v>Холодная вода, потребляемая при содержании общего имущества в МКД</v>
      </c>
      <c r="D29" s="46" t="s">
        <v>90</v>
      </c>
      <c r="E29" s="47">
        <f ca="1">SUMIF('ЖЭУ 3'!$D$5:$AF$6,'Ленина 1'!$C29,'ЖЭУ 3'!$D$32:$AF$32)</f>
        <v>0.18151593392630241</v>
      </c>
      <c r="G29" s="52">
        <f ca="1">SUM(E28:E32)</f>
        <v>2.2163384498094025</v>
      </c>
      <c r="H29" s="52">
        <f ca="1">G29-'ЖЭУ 3'!AJ32</f>
        <v>0</v>
      </c>
    </row>
    <row r="30" spans="2:8" ht="27.6" customHeight="1" x14ac:dyDescent="0.2">
      <c r="B30" s="44">
        <v>3</v>
      </c>
      <c r="C30" s="45" t="str">
        <f>'ЖЭУ 3'!AD5</f>
        <v>Холодная вода в составе горячей на содержание общего имущества МКД</v>
      </c>
      <c r="D30" s="46" t="s">
        <v>90</v>
      </c>
      <c r="E30" s="47">
        <f ca="1">SUMIF('ЖЭУ 3'!$D$5:$AF$6,'Ленина 1'!$C30,'ЖЭУ 3'!$D$32:$AF$32)</f>
        <v>0.6039125794155018</v>
      </c>
    </row>
    <row r="31" spans="2:8" ht="27.6" customHeight="1" x14ac:dyDescent="0.2">
      <c r="B31" s="44">
        <v>4</v>
      </c>
      <c r="C31" s="45" t="str">
        <f>'ЖЭУ 3'!AE5</f>
        <v>Горячая вода, потребляемая при содержании общего имущества в МКД</v>
      </c>
      <c r="D31" s="46" t="s">
        <v>90</v>
      </c>
      <c r="E31" s="47">
        <f ca="1">SUMIF('ЖЭУ 3'!$D$5:$AF$6,'Ленина 1'!$C31,'ЖЭУ 3'!$D$32:$AF$32)</f>
        <v>0</v>
      </c>
    </row>
    <row r="32" spans="2:8" ht="27.6" customHeight="1" thickBot="1" x14ac:dyDescent="0.25">
      <c r="B32" s="48">
        <v>5</v>
      </c>
      <c r="C32" s="49" t="str">
        <f>'ЖЭУ 3'!AF5</f>
        <v>Водоотведение при содержании общего имущества в МКД</v>
      </c>
      <c r="D32" s="50" t="s">
        <v>90</v>
      </c>
      <c r="E32" s="47">
        <f ca="1">SUMIF('ЖЭУ 3'!$D$5:$AF$6,'Ленина 1'!$C32,'ЖЭУ 3'!$D$32:$AF$32)</f>
        <v>0.34994424396442186</v>
      </c>
    </row>
    <row r="33" spans="2:8" ht="11.45" customHeight="1" x14ac:dyDescent="0.2">
      <c r="B33" s="53"/>
      <c r="C33" s="59"/>
      <c r="D33" s="55"/>
      <c r="E33" s="56"/>
    </row>
    <row r="34" spans="2:8" ht="21.6" customHeight="1" x14ac:dyDescent="0.2">
      <c r="B34" s="116" t="s">
        <v>92</v>
      </c>
      <c r="C34" s="116"/>
      <c r="D34" s="116"/>
      <c r="E34" s="116"/>
      <c r="G34" s="58"/>
    </row>
    <row r="35" spans="2:8" ht="15" customHeight="1" x14ac:dyDescent="0.2">
      <c r="B35" s="116"/>
      <c r="C35" s="116"/>
      <c r="D35" s="116"/>
      <c r="E35" s="116"/>
      <c r="H35" s="52"/>
    </row>
    <row r="36" spans="2:8" x14ac:dyDescent="0.2">
      <c r="B36" s="57"/>
      <c r="C36" s="59"/>
      <c r="D36" s="55"/>
      <c r="E36" s="56"/>
      <c r="G36" s="60"/>
      <c r="H36" s="61"/>
    </row>
    <row r="37" spans="2:8" x14ac:dyDescent="0.2">
      <c r="B37" s="117"/>
      <c r="C37" s="117"/>
      <c r="G37" s="60"/>
      <c r="H37" s="62"/>
    </row>
    <row r="38" spans="2:8" x14ac:dyDescent="0.2">
      <c r="B38" s="118" t="s">
        <v>93</v>
      </c>
      <c r="C38" s="118"/>
      <c r="E38" s="42" t="s">
        <v>94</v>
      </c>
      <c r="H38" s="63"/>
    </row>
  </sheetData>
  <mergeCells count="10">
    <mergeCell ref="B27:E27"/>
    <mergeCell ref="B34:E35"/>
    <mergeCell ref="B37:C37"/>
    <mergeCell ref="B38:C38"/>
    <mergeCell ref="B4:E4"/>
    <mergeCell ref="B5:B6"/>
    <mergeCell ref="C5:C6"/>
    <mergeCell ref="D5:D6"/>
    <mergeCell ref="E5:E6"/>
    <mergeCell ref="B26:C26"/>
  </mergeCells>
  <pageMargins left="0.7" right="0.7" top="0.75" bottom="0.75" header="0.3" footer="0.3"/>
  <pageSetup paperSize="9" scale="6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view="pageBreakPreview" zoomScale="75" zoomScaleNormal="100" zoomScaleSheetLayoutView="75" workbookViewId="0">
      <selection activeCell="F1" sqref="F1:F2"/>
    </sheetView>
  </sheetViews>
  <sheetFormatPr defaultColWidth="8.85546875" defaultRowHeight="12.75" x14ac:dyDescent="0.2"/>
  <cols>
    <col min="1" max="1" width="3.42578125" style="41" customWidth="1"/>
    <col min="2" max="2" width="4.85546875" style="41" customWidth="1"/>
    <col min="3" max="3" width="43.7109375" style="41" customWidth="1"/>
    <col min="4" max="4" width="9" style="41" bestFit="1" customWidth="1"/>
    <col min="5" max="5" width="12.5703125" style="42" customWidth="1"/>
    <col min="6" max="16384" width="8.85546875" style="41"/>
  </cols>
  <sheetData>
    <row r="1" spans="2:9" x14ac:dyDescent="0.2">
      <c r="F1" s="43" t="s">
        <v>85</v>
      </c>
    </row>
    <row r="2" spans="2:9" ht="15" x14ac:dyDescent="0.35">
      <c r="F2" s="90" t="s">
        <v>139</v>
      </c>
    </row>
    <row r="3" spans="2:9" ht="13.5" thickBot="1" x14ac:dyDescent="0.25">
      <c r="I3" s="41" t="s">
        <v>125</v>
      </c>
    </row>
    <row r="4" spans="2:9" ht="24" customHeight="1" x14ac:dyDescent="0.2">
      <c r="B4" s="119" t="str">
        <f>CONCATENATE($I$4,$I$3)</f>
        <v>Размер платы на содержание общего имущества многоквартирного дома№ 17А ул. Пропект Победы</v>
      </c>
      <c r="C4" s="120"/>
      <c r="D4" s="120"/>
      <c r="E4" s="121"/>
      <c r="I4" s="41" t="s">
        <v>96</v>
      </c>
    </row>
    <row r="5" spans="2:9" ht="13.9" customHeight="1" x14ac:dyDescent="0.2">
      <c r="B5" s="122" t="s">
        <v>1</v>
      </c>
      <c r="C5" s="123" t="s">
        <v>87</v>
      </c>
      <c r="D5" s="124" t="s">
        <v>88</v>
      </c>
      <c r="E5" s="125" t="s">
        <v>89</v>
      </c>
      <c r="I5" s="41" t="s">
        <v>97</v>
      </c>
    </row>
    <row r="6" spans="2:9" x14ac:dyDescent="0.2">
      <c r="B6" s="122"/>
      <c r="C6" s="123"/>
      <c r="D6" s="124"/>
      <c r="E6" s="125"/>
    </row>
    <row r="7" spans="2:9" ht="41.45" customHeight="1" x14ac:dyDescent="0.2">
      <c r="B7" s="44">
        <v>1</v>
      </c>
      <c r="C7" s="45" t="str">
        <f>'ЖЭУ 3'!D5</f>
        <v xml:space="preserve">Управление  многоквартирным домом   </v>
      </c>
      <c r="D7" s="46" t="s">
        <v>90</v>
      </c>
      <c r="E7" s="47">
        <f ca="1">SUMIF('ЖЭУ 3'!$D$5:$AF$6,'Ленина 1'!$C7,'ЖЭУ 3'!$D$33:$AF$33)</f>
        <v>5.04</v>
      </c>
    </row>
    <row r="8" spans="2:9" ht="41.45" customHeight="1" x14ac:dyDescent="0.2">
      <c r="B8" s="44">
        <v>2</v>
      </c>
      <c r="C8" s="45" t="str">
        <f>'ЖЭУ 3'!E5</f>
        <v>Уборка и санитарно-гигиеническая очистка 
лестничных клеток</v>
      </c>
      <c r="D8" s="46" t="s">
        <v>90</v>
      </c>
      <c r="E8" s="47">
        <f ca="1">SUMIF('ЖЭУ 3'!$D$5:$AF$6,'Ленина 1'!$C8,'ЖЭУ 3'!$D$33:$AF$33)</f>
        <v>5.17</v>
      </c>
    </row>
    <row r="9" spans="2:9" ht="41.45" customHeight="1" x14ac:dyDescent="0.2">
      <c r="B9" s="44">
        <v>3</v>
      </c>
      <c r="C9" s="45" t="str">
        <f>'ЖЭУ 3'!F5</f>
        <v>Уборка и санитарно-гигиеническая очистка земельного участка и контейнерных площадок</v>
      </c>
      <c r="D9" s="46" t="s">
        <v>90</v>
      </c>
      <c r="E9" s="47">
        <f ca="1">SUMIF('ЖЭУ 3'!$D$5:$AF$6,'Ленина 1'!$C9,'ЖЭУ 3'!$D$33:$AF$33)</f>
        <v>5.39</v>
      </c>
    </row>
    <row r="10" spans="2:9" ht="41.45" customHeight="1" x14ac:dyDescent="0.2">
      <c r="B10" s="44">
        <v>4</v>
      </c>
      <c r="C10" s="45" t="str">
        <f>'ЖЭУ 3'!G5</f>
        <v>Содержание и техническое обслуживание конструктивных элементов</v>
      </c>
      <c r="D10" s="46" t="s">
        <v>90</v>
      </c>
      <c r="E10" s="47">
        <f ca="1">SUMIF('ЖЭУ 3'!$D$5:$AF$6,'Ленина 1'!$C10,'ЖЭУ 3'!$D$33:$AF$33)</f>
        <v>2.61</v>
      </c>
    </row>
    <row r="11" spans="2:9" ht="41.45" customHeight="1" x14ac:dyDescent="0.2">
      <c r="B11" s="44">
        <v>5</v>
      </c>
      <c r="C11" s="45" t="str">
        <f>'ЖЭУ 3'!H5</f>
        <v>Содержание и техническое обслуживание внутридомовых систем холодного и горячего водоснабжения, отопления и канализации</v>
      </c>
      <c r="D11" s="46" t="s">
        <v>90</v>
      </c>
      <c r="E11" s="47">
        <f ca="1">SUMIF('ЖЭУ 3'!$D$5:$AF$6,'Ленина 1'!$C11,'ЖЭУ 3'!$D$33:$AF$33)</f>
        <v>3.61</v>
      </c>
    </row>
    <row r="12" spans="2:9" ht="41.45" customHeight="1" x14ac:dyDescent="0.2">
      <c r="B12" s="44">
        <v>6</v>
      </c>
      <c r="C12" s="45" t="str">
        <f>'ЖЭУ 3'!I5</f>
        <v>Содержание и техническое обслуживание внутридомовых систем электроснабжения</v>
      </c>
      <c r="D12" s="46" t="s">
        <v>90</v>
      </c>
      <c r="E12" s="47">
        <f ca="1">SUMIF('ЖЭУ 3'!$D$5:$AF$6,'Ленина 1'!$C12,'ЖЭУ 3'!$D$33:$AF$33)</f>
        <v>2.82</v>
      </c>
    </row>
    <row r="13" spans="2:9" ht="41.45" customHeight="1" x14ac:dyDescent="0.2">
      <c r="B13" s="44">
        <v>7</v>
      </c>
      <c r="C13" s="45" t="str">
        <f>'ЖЭУ 3'!J5</f>
        <v>Текущий ремонт МКД</v>
      </c>
      <c r="D13" s="46" t="s">
        <v>90</v>
      </c>
      <c r="E13" s="47">
        <f ca="1">SUMIF('ЖЭУ 3'!$D$5:$AF$6,'Ленина 1'!$C13,'ЖЭУ 3'!$D$33:$AF$33)</f>
        <v>9.7999999999999989</v>
      </c>
    </row>
    <row r="14" spans="2:9" ht="41.45" customHeight="1" x14ac:dyDescent="0.2">
      <c r="B14" s="44">
        <v>8</v>
      </c>
      <c r="C14" s="45" t="str">
        <f>'ЖЭУ 3'!P5</f>
        <v>Дератизация, дезинсекция помещений</v>
      </c>
      <c r="D14" s="46" t="s">
        <v>90</v>
      </c>
      <c r="E14" s="47">
        <f ca="1">SUMIF('ЖЭУ 3'!$D$5:$AF$6,'Ленина 1'!$C14,'ЖЭУ 3'!$D$33:$AF$33)</f>
        <v>0.11</v>
      </c>
    </row>
    <row r="15" spans="2:9" ht="41.45" customHeight="1" x14ac:dyDescent="0.2">
      <c r="B15" s="44">
        <v>9</v>
      </c>
      <c r="C15" s="45" t="str">
        <f>'ЖЭУ 3'!Q5</f>
        <v>Благоустройство придомовой территории</v>
      </c>
      <c r="D15" s="46" t="s">
        <v>90</v>
      </c>
      <c r="E15" s="47">
        <f ca="1">SUMIF('ЖЭУ 3'!$D$5:$AF$6,'Ленина 1'!$C15,'ЖЭУ 3'!$D$33:$AF$33)</f>
        <v>0.37</v>
      </c>
    </row>
    <row r="16" spans="2:9" ht="41.45" customHeight="1" x14ac:dyDescent="0.2">
      <c r="B16" s="44">
        <v>10</v>
      </c>
      <c r="C16" s="45" t="str">
        <f>'ЖЭУ 3'!R5</f>
        <v>Сбор и вывоз твердых коммунальных отходов</v>
      </c>
      <c r="D16" s="46" t="s">
        <v>90</v>
      </c>
      <c r="E16" s="47">
        <f ca="1">SUMIF('ЖЭУ 3'!$D$5:$AF$6,'Ленина 1'!$C16,'ЖЭУ 3'!$D$33:$AF$33)</f>
        <v>1.43</v>
      </c>
    </row>
    <row r="17" spans="2:8" ht="41.45" customHeight="1" x14ac:dyDescent="0.2">
      <c r="B17" s="44">
        <v>11</v>
      </c>
      <c r="C17" s="45" t="str">
        <f>'ЖЭУ 3'!S5</f>
        <v>Механизированная уборка территорий от снега</v>
      </c>
      <c r="D17" s="46" t="s">
        <v>90</v>
      </c>
      <c r="E17" s="47">
        <f ca="1">SUMIF('ЖЭУ 3'!$D$5:$AF$6,'Ленина 1'!$C17,'ЖЭУ 3'!$D$33:$AF$33)</f>
        <v>0.94</v>
      </c>
    </row>
    <row r="18" spans="2:8" ht="41.45" customHeight="1" x14ac:dyDescent="0.2">
      <c r="B18" s="44">
        <v>12</v>
      </c>
      <c r="C18" s="45" t="str">
        <f>'ЖЭУ 3'!T5</f>
        <v>Содержание, техническое обслуживание КОДПУ тепловой энергии на отопление</v>
      </c>
      <c r="D18" s="46" t="s">
        <v>90</v>
      </c>
      <c r="E18" s="47">
        <f ca="1">SUMIF('ЖЭУ 3'!$D$5:$AF$6,'Ленина 1'!$C18,'ЖЭУ 3'!$D$33:$AF$33)</f>
        <v>0.43</v>
      </c>
    </row>
    <row r="19" spans="2:8" ht="41.45" customHeight="1" x14ac:dyDescent="0.2">
      <c r="B19" s="44">
        <v>13</v>
      </c>
      <c r="C19" s="45" t="str">
        <f>'ЖЭУ 3'!U5</f>
        <v>Содержание, техническое обслуживание КОДПУ горячего водоснабжения</v>
      </c>
      <c r="D19" s="46" t="s">
        <v>90</v>
      </c>
      <c r="E19" s="47">
        <f ca="1">SUMIF('ЖЭУ 3'!$D$5:$AF$6,'Ленина 1'!$C19,'ЖЭУ 3'!$D$33:$AF$33)</f>
        <v>0.26</v>
      </c>
    </row>
    <row r="20" spans="2:8" ht="41.45" customHeight="1" x14ac:dyDescent="0.2">
      <c r="B20" s="44">
        <v>14</v>
      </c>
      <c r="C20" s="45" t="str">
        <f>'ЖЭУ 3'!V5</f>
        <v>Содержание, техническое обслуживание КОДПУ холодного водоснабжения</v>
      </c>
      <c r="D20" s="46" t="s">
        <v>90</v>
      </c>
      <c r="E20" s="47">
        <f ca="1">SUMIF('ЖЭУ 3'!$D$5:$AF$6,'Ленина 1'!$C20,'ЖЭУ 3'!$D$33:$AF$33)</f>
        <v>0.37</v>
      </c>
    </row>
    <row r="21" spans="2:8" ht="41.45" customHeight="1" x14ac:dyDescent="0.2">
      <c r="B21" s="44">
        <v>15</v>
      </c>
      <c r="C21" s="45" t="str">
        <f>'ЖЭУ 3'!W5</f>
        <v>Поверка, замена вышедшего из строя оборудования коллективног ОПУ тепловой энергии на отопление</v>
      </c>
      <c r="D21" s="46" t="s">
        <v>90</v>
      </c>
      <c r="E21" s="47">
        <f ca="1">SUMIF('ЖЭУ 3'!$D$5:$AF$6,'Ленина 1'!$C21,'ЖЭУ 3'!$D$33:$AF$33)</f>
        <v>0.35</v>
      </c>
    </row>
    <row r="22" spans="2:8" ht="41.45" customHeight="1" x14ac:dyDescent="0.2">
      <c r="B22" s="44">
        <v>16</v>
      </c>
      <c r="C22" s="45" t="str">
        <f>'ЖЭУ 3'!X5</f>
        <v>Поверка, замена вышедшего из строя оборудования коллективног ОПУ горячего водоснабжения</v>
      </c>
      <c r="D22" s="46" t="s">
        <v>90</v>
      </c>
      <c r="E22" s="47">
        <f ca="1">SUMIF('ЖЭУ 3'!$D$5:$AF$6,'Ленина 1'!$C22,'ЖЭУ 3'!$D$33:$AF$33)</f>
        <v>0.26</v>
      </c>
      <c r="G22" s="52">
        <f ca="1">SUM(E7:E25)</f>
        <v>39.299999999999983</v>
      </c>
      <c r="H22" s="52">
        <f ca="1">G22-'ЖЭУ 3'!AK33</f>
        <v>0</v>
      </c>
    </row>
    <row r="23" spans="2:8" ht="33" customHeight="1" x14ac:dyDescent="0.2">
      <c r="B23" s="44">
        <v>17</v>
      </c>
      <c r="C23" s="45" t="str">
        <f>'ЖЭУ 3'!Y5</f>
        <v>Поверка, замена вышедшего из строя оборудования коллективног ОПУ холодного водоснабжения</v>
      </c>
      <c r="D23" s="46" t="s">
        <v>90</v>
      </c>
      <c r="E23" s="47">
        <f ca="1">SUMIF('ЖЭУ 3'!$D$5:$AF$6,'Ленина 1'!$C23,'ЖЭУ 3'!$D$33:$AF$33)</f>
        <v>0.15</v>
      </c>
    </row>
    <row r="24" spans="2:8" ht="43.15" customHeight="1" x14ac:dyDescent="0.2">
      <c r="B24" s="44">
        <v>18</v>
      </c>
      <c r="C24" s="45" t="str">
        <f>'ЖЭУ 3'!Z5</f>
        <v>Поверка, замена вышедшего из строя оборудования коллективног ОПУ электрической энергии</v>
      </c>
      <c r="D24" s="46" t="s">
        <v>90</v>
      </c>
      <c r="E24" s="47">
        <f ca="1">SUMIF('ЖЭУ 3'!$D$5:$AF$6,'Ленина 1'!$C24,'ЖЭУ 3'!$D$33:$AF$33)</f>
        <v>0.19</v>
      </c>
    </row>
    <row r="25" spans="2:8" ht="31.9" customHeight="1" thickBot="1" x14ac:dyDescent="0.25">
      <c r="B25" s="48">
        <v>19</v>
      </c>
      <c r="C25" s="49" t="str">
        <f>'ЖЭУ 3'!AA5</f>
        <v>Техническое обслуживание систем аудидомофонной связи</v>
      </c>
      <c r="D25" s="50" t="s">
        <v>90</v>
      </c>
      <c r="E25" s="51">
        <f ca="1">SUMIF('ЖЭУ 3'!$D$5:$AF$6,'Ленина 1'!$C25,'ЖЭУ 3'!$D$33:$AF$33)</f>
        <v>0</v>
      </c>
    </row>
    <row r="26" spans="2:8" ht="11.45" customHeight="1" thickBot="1" x14ac:dyDescent="0.25">
      <c r="B26" s="116" t="s">
        <v>91</v>
      </c>
      <c r="C26" s="116"/>
    </row>
    <row r="27" spans="2:8" ht="25.15" customHeight="1" x14ac:dyDescent="0.2">
      <c r="B27" s="113" t="str">
        <f>CONCATENATE($I$5,$I$3)</f>
        <v>Расходы по коммунальным услугам, потребленным на содержание общего иммущества многоквартирного дома№ 17А ул. Пропект Победы</v>
      </c>
      <c r="C27" s="114"/>
      <c r="D27" s="114"/>
      <c r="E27" s="115"/>
    </row>
    <row r="28" spans="2:8" ht="25.15" customHeight="1" x14ac:dyDescent="0.2">
      <c r="B28" s="44">
        <v>1</v>
      </c>
      <c r="C28" s="45" t="str">
        <f>'ЖЭУ 3'!AB5</f>
        <v>Электрическая энергия, потребляемая при содержании общего имущества в МКД</v>
      </c>
      <c r="D28" s="46" t="s">
        <v>90</v>
      </c>
      <c r="E28" s="47">
        <f ca="1">SUMIF('ЖЭУ 3'!$D$5:$AF$6,'Ленина 1'!$C28,'ЖЭУ 3'!$D$33:$AF$33)</f>
        <v>1.0008487762629354</v>
      </c>
      <c r="G28" s="52"/>
    </row>
    <row r="29" spans="2:8" ht="25.15" customHeight="1" x14ac:dyDescent="0.2">
      <c r="B29" s="44">
        <v>2</v>
      </c>
      <c r="C29" s="45" t="str">
        <f>'ЖЭУ 3'!AC5</f>
        <v>Холодная вода, потребляемая при содержании общего имущества в МКД</v>
      </c>
      <c r="D29" s="46" t="s">
        <v>90</v>
      </c>
      <c r="E29" s="47">
        <f ca="1">SUMIF('ЖЭУ 3'!$D$5:$AF$6,'Ленина 1'!$C29,'ЖЭУ 3'!$D$33:$AF$33)</f>
        <v>0.13400917825197484</v>
      </c>
      <c r="G29" s="52">
        <f ca="1">SUM(E28:E32)</f>
        <v>1.8232140092881566</v>
      </c>
      <c r="H29" s="52">
        <f ca="1">G29-'ЖЭУ 3'!AJ33</f>
        <v>0</v>
      </c>
    </row>
    <row r="30" spans="2:8" ht="27.6" customHeight="1" x14ac:dyDescent="0.2">
      <c r="B30" s="44">
        <v>3</v>
      </c>
      <c r="C30" s="45" t="str">
        <f>'ЖЭУ 3'!AD5</f>
        <v>Холодная вода в составе горячей на содержание общего имущества МКД</v>
      </c>
      <c r="D30" s="46" t="s">
        <v>90</v>
      </c>
      <c r="E30" s="47">
        <f ca="1">SUMIF('ЖЭУ 3'!$D$5:$AF$6,'Ленина 1'!$C30,'ЖЭУ 3'!$D$33:$AF$33)</f>
        <v>0</v>
      </c>
    </row>
    <row r="31" spans="2:8" ht="27.6" customHeight="1" x14ac:dyDescent="0.2">
      <c r="B31" s="44">
        <v>4</v>
      </c>
      <c r="C31" s="45" t="str">
        <f>'ЖЭУ 3'!AE5</f>
        <v>Горячая вода, потребляемая при содержании общего имущества в МКД</v>
      </c>
      <c r="D31" s="46" t="s">
        <v>90</v>
      </c>
      <c r="E31" s="47">
        <f ca="1">SUMIF('ЖЭУ 3'!$D$5:$AF$6,'Ленина 1'!$C31,'ЖЭУ 3'!$D$33:$AF$33)</f>
        <v>0.43</v>
      </c>
    </row>
    <row r="32" spans="2:8" ht="27.6" customHeight="1" thickBot="1" x14ac:dyDescent="0.25">
      <c r="B32" s="48">
        <v>5</v>
      </c>
      <c r="C32" s="49" t="str">
        <f>'ЖЭУ 3'!AF5</f>
        <v>Водоотведение при содержании общего имущества в МКД</v>
      </c>
      <c r="D32" s="50" t="s">
        <v>90</v>
      </c>
      <c r="E32" s="47">
        <f ca="1">SUMIF('ЖЭУ 3'!$D$5:$AF$6,'Ленина 1'!$C32,'ЖЭУ 3'!$D$33:$AF$33)</f>
        <v>0.25835605477324647</v>
      </c>
    </row>
    <row r="33" spans="2:8" ht="11.45" customHeight="1" x14ac:dyDescent="0.2">
      <c r="B33" s="53"/>
      <c r="C33" s="59"/>
      <c r="D33" s="55"/>
      <c r="E33" s="56"/>
    </row>
    <row r="34" spans="2:8" ht="21.6" customHeight="1" x14ac:dyDescent="0.2">
      <c r="B34" s="116" t="s">
        <v>92</v>
      </c>
      <c r="C34" s="116"/>
      <c r="D34" s="116"/>
      <c r="E34" s="116"/>
      <c r="G34" s="58"/>
    </row>
    <row r="35" spans="2:8" ht="15" customHeight="1" x14ac:dyDescent="0.2">
      <c r="B35" s="116"/>
      <c r="C35" s="116"/>
      <c r="D35" s="116"/>
      <c r="E35" s="116"/>
      <c r="H35" s="52"/>
    </row>
    <row r="36" spans="2:8" x14ac:dyDescent="0.2">
      <c r="B36" s="57"/>
      <c r="C36" s="59"/>
      <c r="D36" s="55"/>
      <c r="E36" s="56"/>
      <c r="G36" s="60"/>
      <c r="H36" s="61"/>
    </row>
    <row r="37" spans="2:8" x14ac:dyDescent="0.2">
      <c r="B37" s="117"/>
      <c r="C37" s="117"/>
      <c r="G37" s="60"/>
      <c r="H37" s="62"/>
    </row>
    <row r="38" spans="2:8" x14ac:dyDescent="0.2">
      <c r="B38" s="118" t="s">
        <v>93</v>
      </c>
      <c r="C38" s="118"/>
      <c r="E38" s="42" t="s">
        <v>94</v>
      </c>
      <c r="H38" s="63"/>
    </row>
  </sheetData>
  <mergeCells count="10">
    <mergeCell ref="B27:E27"/>
    <mergeCell ref="B34:E35"/>
    <mergeCell ref="B37:C37"/>
    <mergeCell ref="B38:C38"/>
    <mergeCell ref="B4:E4"/>
    <mergeCell ref="B5:B6"/>
    <mergeCell ref="C5:C6"/>
    <mergeCell ref="D5:D6"/>
    <mergeCell ref="E5:E6"/>
    <mergeCell ref="B26:C26"/>
  </mergeCells>
  <pageMargins left="0.7" right="0.7" top="0.75" bottom="0.75" header="0.3" footer="0.3"/>
  <pageSetup paperSize="9" scale="6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view="pageBreakPreview" zoomScale="75" zoomScaleNormal="100" zoomScaleSheetLayoutView="75" workbookViewId="0">
      <selection activeCell="F1" sqref="F1:F2"/>
    </sheetView>
  </sheetViews>
  <sheetFormatPr defaultColWidth="8.85546875" defaultRowHeight="12.75" x14ac:dyDescent="0.2"/>
  <cols>
    <col min="1" max="1" width="3.42578125" style="41" customWidth="1"/>
    <col min="2" max="2" width="4.85546875" style="41" customWidth="1"/>
    <col min="3" max="3" width="43.7109375" style="41" customWidth="1"/>
    <col min="4" max="4" width="9" style="41" bestFit="1" customWidth="1"/>
    <col min="5" max="5" width="12.5703125" style="42" customWidth="1"/>
    <col min="6" max="16384" width="8.85546875" style="41"/>
  </cols>
  <sheetData>
    <row r="1" spans="2:9" x14ac:dyDescent="0.2">
      <c r="F1" s="43" t="s">
        <v>85</v>
      </c>
    </row>
    <row r="2" spans="2:9" ht="15" x14ac:dyDescent="0.35">
      <c r="F2" s="90" t="s">
        <v>139</v>
      </c>
    </row>
    <row r="3" spans="2:9" ht="13.5" thickBot="1" x14ac:dyDescent="0.25">
      <c r="I3" s="41" t="s">
        <v>122</v>
      </c>
    </row>
    <row r="4" spans="2:9" ht="24" customHeight="1" x14ac:dyDescent="0.2">
      <c r="B4" s="119" t="str">
        <f>CONCATENATE($I$4,$I$3)</f>
        <v>Размер платы на содержание общего имущества многоквартирного дома№ 19А ул. Проспект Победы</v>
      </c>
      <c r="C4" s="120"/>
      <c r="D4" s="120"/>
      <c r="E4" s="121"/>
      <c r="I4" s="41" t="s">
        <v>96</v>
      </c>
    </row>
    <row r="5" spans="2:9" ht="13.9" customHeight="1" x14ac:dyDescent="0.2">
      <c r="B5" s="122" t="s">
        <v>1</v>
      </c>
      <c r="C5" s="123" t="s">
        <v>87</v>
      </c>
      <c r="D5" s="124" t="s">
        <v>88</v>
      </c>
      <c r="E5" s="125" t="s">
        <v>89</v>
      </c>
      <c r="I5" s="41" t="s">
        <v>97</v>
      </c>
    </row>
    <row r="6" spans="2:9" x14ac:dyDescent="0.2">
      <c r="B6" s="122"/>
      <c r="C6" s="123"/>
      <c r="D6" s="124"/>
      <c r="E6" s="125"/>
    </row>
    <row r="7" spans="2:9" ht="41.45" customHeight="1" x14ac:dyDescent="0.2">
      <c r="B7" s="44">
        <v>1</v>
      </c>
      <c r="C7" s="45" t="str">
        <f>'ЖЭУ 3'!D5</f>
        <v xml:space="preserve">Управление  многоквартирным домом   </v>
      </c>
      <c r="D7" s="46" t="s">
        <v>90</v>
      </c>
      <c r="E7" s="47">
        <f ca="1">SUMIF('ЖЭУ 3'!$D$5:$AF$6,'Ленина 1'!$C7,'ЖЭУ 3'!$D$34:$AF$34)</f>
        <v>5.04</v>
      </c>
    </row>
    <row r="8" spans="2:9" ht="41.45" customHeight="1" x14ac:dyDescent="0.2">
      <c r="B8" s="44">
        <v>2</v>
      </c>
      <c r="C8" s="45" t="str">
        <f>'ЖЭУ 3'!E5</f>
        <v>Уборка и санитарно-гигиеническая очистка 
лестничных клеток</v>
      </c>
      <c r="D8" s="46" t="s">
        <v>90</v>
      </c>
      <c r="E8" s="47">
        <f ca="1">SUMIF('ЖЭУ 3'!$D$5:$AF$6,'Ленина 1'!$C8,'ЖЭУ 3'!$D$34:$AF$34)</f>
        <v>6.85</v>
      </c>
    </row>
    <row r="9" spans="2:9" ht="41.45" customHeight="1" x14ac:dyDescent="0.2">
      <c r="B9" s="44">
        <v>3</v>
      </c>
      <c r="C9" s="45" t="str">
        <f>'ЖЭУ 3'!F5</f>
        <v>Уборка и санитарно-гигиеническая очистка земельного участка и контейнерных площадок</v>
      </c>
      <c r="D9" s="46" t="s">
        <v>90</v>
      </c>
      <c r="E9" s="47">
        <f ca="1">SUMIF('ЖЭУ 3'!$D$5:$AF$6,'Ленина 1'!$C9,'ЖЭУ 3'!$D$34:$AF$34)</f>
        <v>5.69</v>
      </c>
    </row>
    <row r="10" spans="2:9" ht="41.45" customHeight="1" x14ac:dyDescent="0.2">
      <c r="B10" s="44">
        <v>4</v>
      </c>
      <c r="C10" s="45" t="str">
        <f>'ЖЭУ 3'!G5</f>
        <v>Содержание и техническое обслуживание конструктивных элементов</v>
      </c>
      <c r="D10" s="46" t="s">
        <v>90</v>
      </c>
      <c r="E10" s="47">
        <f ca="1">SUMIF('ЖЭУ 3'!$D$5:$AF$6,'Ленина 1'!$C10,'ЖЭУ 3'!$D$34:$AF$34)</f>
        <v>2.3199999999999998</v>
      </c>
    </row>
    <row r="11" spans="2:9" ht="41.45" customHeight="1" x14ac:dyDescent="0.2">
      <c r="B11" s="44">
        <v>5</v>
      </c>
      <c r="C11" s="45" t="str">
        <f>'ЖЭУ 3'!H5</f>
        <v>Содержание и техническое обслуживание внутридомовых систем холодного и горячего водоснабжения, отопления и канализации</v>
      </c>
      <c r="D11" s="46" t="s">
        <v>90</v>
      </c>
      <c r="E11" s="47">
        <f ca="1">SUMIF('ЖЭУ 3'!$D$5:$AF$6,'Ленина 1'!$C11,'ЖЭУ 3'!$D$34:$AF$34)</f>
        <v>2.5</v>
      </c>
    </row>
    <row r="12" spans="2:9" ht="41.45" customHeight="1" x14ac:dyDescent="0.2">
      <c r="B12" s="44">
        <v>6</v>
      </c>
      <c r="C12" s="45" t="str">
        <f>'ЖЭУ 3'!I5</f>
        <v>Содержание и техническое обслуживание внутридомовых систем электроснабжения</v>
      </c>
      <c r="D12" s="46" t="s">
        <v>90</v>
      </c>
      <c r="E12" s="47">
        <f ca="1">SUMIF('ЖЭУ 3'!$D$5:$AF$6,'Ленина 1'!$C12,'ЖЭУ 3'!$D$34:$AF$34)</f>
        <v>1.4</v>
      </c>
    </row>
    <row r="13" spans="2:9" ht="41.45" customHeight="1" x14ac:dyDescent="0.2">
      <c r="B13" s="44">
        <v>7</v>
      </c>
      <c r="C13" s="45" t="str">
        <f>'ЖЭУ 3'!J5</f>
        <v>Текущий ремонт МКД</v>
      </c>
      <c r="D13" s="46" t="s">
        <v>90</v>
      </c>
      <c r="E13" s="47">
        <f ca="1">SUMIF('ЖЭУ 3'!$D$5:$AF$6,'Ленина 1'!$C13,'ЖЭУ 3'!$D$34:$AF$34)</f>
        <v>8.745000000000001</v>
      </c>
    </row>
    <row r="14" spans="2:9" ht="41.45" customHeight="1" x14ac:dyDescent="0.2">
      <c r="B14" s="44">
        <v>8</v>
      </c>
      <c r="C14" s="45" t="str">
        <f>'ЖЭУ 3'!P5</f>
        <v>Дератизация, дезинсекция помещений</v>
      </c>
      <c r="D14" s="46" t="s">
        <v>90</v>
      </c>
      <c r="E14" s="47">
        <f ca="1">SUMIF('ЖЭУ 3'!$D$5:$AF$6,'Ленина 1'!$C14,'ЖЭУ 3'!$D$34:$AF$34)</f>
        <v>0.12</v>
      </c>
    </row>
    <row r="15" spans="2:9" ht="41.45" customHeight="1" x14ac:dyDescent="0.2">
      <c r="B15" s="44">
        <v>9</v>
      </c>
      <c r="C15" s="45" t="str">
        <f>'ЖЭУ 3'!Q5</f>
        <v>Благоустройство придомовой территории</v>
      </c>
      <c r="D15" s="46" t="s">
        <v>90</v>
      </c>
      <c r="E15" s="47">
        <f ca="1">SUMIF('ЖЭУ 3'!$D$5:$AF$6,'Ленина 1'!$C15,'ЖЭУ 3'!$D$34:$AF$34)</f>
        <v>0.37</v>
      </c>
    </row>
    <row r="16" spans="2:9" ht="41.45" customHeight="1" x14ac:dyDescent="0.2">
      <c r="B16" s="44">
        <v>10</v>
      </c>
      <c r="C16" s="45" t="str">
        <f>'ЖЭУ 3'!R5</f>
        <v>Сбор и вывоз твердых коммунальных отходов</v>
      </c>
      <c r="D16" s="46" t="s">
        <v>90</v>
      </c>
      <c r="E16" s="47">
        <f ca="1">SUMIF('ЖЭУ 3'!$D$5:$AF$6,'Ленина 1'!$C16,'ЖЭУ 3'!$D$34:$AF$34)</f>
        <v>1.69</v>
      </c>
    </row>
    <row r="17" spans="2:8" ht="41.45" customHeight="1" x14ac:dyDescent="0.2">
      <c r="B17" s="44">
        <v>11</v>
      </c>
      <c r="C17" s="45" t="str">
        <f>'ЖЭУ 3'!S5</f>
        <v>Механизированная уборка территорий от снега</v>
      </c>
      <c r="D17" s="46" t="s">
        <v>90</v>
      </c>
      <c r="E17" s="47">
        <f ca="1">SUMIF('ЖЭУ 3'!$D$5:$AF$6,'Ленина 1'!$C17,'ЖЭУ 3'!$D$34:$AF$34)</f>
        <v>1.53</v>
      </c>
    </row>
    <row r="18" spans="2:8" ht="41.45" customHeight="1" x14ac:dyDescent="0.2">
      <c r="B18" s="44">
        <v>12</v>
      </c>
      <c r="C18" s="45" t="str">
        <f>'ЖЭУ 3'!T5</f>
        <v>Содержание, техническое обслуживание КОДПУ тепловой энергии на отопление</v>
      </c>
      <c r="D18" s="46" t="s">
        <v>90</v>
      </c>
      <c r="E18" s="47">
        <f ca="1">SUMIF('ЖЭУ 3'!$D$5:$AF$6,'Ленина 1'!$C18,'ЖЭУ 3'!$D$34:$AF$34)</f>
        <v>0.27</v>
      </c>
    </row>
    <row r="19" spans="2:8" ht="41.45" customHeight="1" x14ac:dyDescent="0.2">
      <c r="B19" s="44">
        <v>13</v>
      </c>
      <c r="C19" s="45" t="str">
        <f>'ЖЭУ 3'!U5</f>
        <v>Содержание, техническое обслуживание КОДПУ горячего водоснабжения</v>
      </c>
      <c r="D19" s="46" t="s">
        <v>90</v>
      </c>
      <c r="E19" s="47">
        <f ca="1">SUMIF('ЖЭУ 3'!$D$5:$AF$6,'Ленина 1'!$C19,'ЖЭУ 3'!$D$34:$AF$34)</f>
        <v>0.17</v>
      </c>
    </row>
    <row r="20" spans="2:8" ht="41.45" customHeight="1" x14ac:dyDescent="0.2">
      <c r="B20" s="44">
        <v>14</v>
      </c>
      <c r="C20" s="45" t="str">
        <f>'ЖЭУ 3'!V5</f>
        <v>Содержание, техническое обслуживание КОДПУ холодного водоснабжения</v>
      </c>
      <c r="D20" s="46" t="s">
        <v>90</v>
      </c>
      <c r="E20" s="47">
        <f ca="1">SUMIF('ЖЭУ 3'!$D$5:$AF$6,'Ленина 1'!$C20,'ЖЭУ 3'!$D$34:$AF$34)</f>
        <v>0.23</v>
      </c>
    </row>
    <row r="21" spans="2:8" ht="41.45" customHeight="1" x14ac:dyDescent="0.2">
      <c r="B21" s="44">
        <v>15</v>
      </c>
      <c r="C21" s="45" t="str">
        <f>'ЖЭУ 3'!W5</f>
        <v>Поверка, замена вышедшего из строя оборудования коллективног ОПУ тепловой энергии на отопление</v>
      </c>
      <c r="D21" s="46" t="s">
        <v>90</v>
      </c>
      <c r="E21" s="47">
        <f ca="1">SUMIF('ЖЭУ 3'!$D$5:$AF$6,'Ленина 1'!$C21,'ЖЭУ 3'!$D$34:$AF$34)</f>
        <v>0.22</v>
      </c>
    </row>
    <row r="22" spans="2:8" ht="41.45" customHeight="1" x14ac:dyDescent="0.2">
      <c r="B22" s="44">
        <v>16</v>
      </c>
      <c r="C22" s="45" t="str">
        <f>'ЖЭУ 3'!X5</f>
        <v>Поверка, замена вышедшего из строя оборудования коллективног ОПУ горячего водоснабжения</v>
      </c>
      <c r="D22" s="46" t="s">
        <v>90</v>
      </c>
      <c r="E22" s="47">
        <f ca="1">SUMIF('ЖЭУ 3'!$D$5:$AF$6,'Ленина 1'!$C22,'ЖЭУ 3'!$D$34:$AF$34)</f>
        <v>0.16</v>
      </c>
      <c r="G22" s="52">
        <f ca="1">SUM(E7:E25)</f>
        <v>39.284999999999997</v>
      </c>
      <c r="H22" s="52">
        <f ca="1">G22-'ЖЭУ 3'!AK34</f>
        <v>0</v>
      </c>
    </row>
    <row r="23" spans="2:8" ht="33" customHeight="1" x14ac:dyDescent="0.2">
      <c r="B23" s="44">
        <v>17</v>
      </c>
      <c r="C23" s="45" t="str">
        <f>'ЖЭУ 3'!Y5</f>
        <v>Поверка, замена вышедшего из строя оборудования коллективног ОПУ холодного водоснабжения</v>
      </c>
      <c r="D23" s="46" t="s">
        <v>90</v>
      </c>
      <c r="E23" s="47">
        <f ca="1">SUMIF('ЖЭУ 3'!$D$5:$AF$6,'Ленина 1'!$C23,'ЖЭУ 3'!$D$34:$AF$34)</f>
        <v>0.09</v>
      </c>
    </row>
    <row r="24" spans="2:8" ht="43.15" customHeight="1" x14ac:dyDescent="0.2">
      <c r="B24" s="44">
        <v>18</v>
      </c>
      <c r="C24" s="45" t="str">
        <f>'ЖЭУ 3'!Z5</f>
        <v>Поверка, замена вышедшего из строя оборудования коллективног ОПУ электрической энергии</v>
      </c>
      <c r="D24" s="46" t="s">
        <v>90</v>
      </c>
      <c r="E24" s="47">
        <f ca="1">SUMIF('ЖЭУ 3'!$D$5:$AF$6,'Ленина 1'!$C24,'ЖЭУ 3'!$D$34:$AF$34)</f>
        <v>0.24</v>
      </c>
    </row>
    <row r="25" spans="2:8" ht="31.9" customHeight="1" thickBot="1" x14ac:dyDescent="0.25">
      <c r="B25" s="48">
        <v>19</v>
      </c>
      <c r="C25" s="49" t="str">
        <f>'ЖЭУ 3'!AA5</f>
        <v>Техническое обслуживание систем аудидомофонной связи</v>
      </c>
      <c r="D25" s="50" t="s">
        <v>90</v>
      </c>
      <c r="E25" s="51">
        <f ca="1">SUMIF('ЖЭУ 3'!$D$5:$AF$6,'Ленина 1'!$C25,'ЖЭУ 3'!$D$34:$AF$34)</f>
        <v>1.65</v>
      </c>
    </row>
    <row r="26" spans="2:8" ht="11.45" customHeight="1" thickBot="1" x14ac:dyDescent="0.25">
      <c r="B26" s="116" t="s">
        <v>91</v>
      </c>
      <c r="C26" s="116"/>
    </row>
    <row r="27" spans="2:8" ht="25.15" customHeight="1" x14ac:dyDescent="0.2">
      <c r="B27" s="113" t="str">
        <f>CONCATENATE($I$5,$I$3)</f>
        <v>Расходы по коммунальным услугам, потребленным на содержание общего иммущества многоквартирного дома№ 19А ул. Проспект Победы</v>
      </c>
      <c r="C27" s="114"/>
      <c r="D27" s="114"/>
      <c r="E27" s="115"/>
    </row>
    <row r="28" spans="2:8" ht="25.15" customHeight="1" x14ac:dyDescent="0.2">
      <c r="B28" s="44">
        <v>1</v>
      </c>
      <c r="C28" s="45" t="str">
        <f>'ЖЭУ 3'!AB5</f>
        <v>Электрическая энергия, потребляемая при содержании общего имущества в МКД</v>
      </c>
      <c r="D28" s="46" t="s">
        <v>90</v>
      </c>
      <c r="E28" s="47">
        <f ca="1">SUMIF('ЖЭУ 3'!$D$5:$AF$6,'Ленина 1'!$C28,'ЖЭУ 3'!$D$34:$AF$34)</f>
        <v>1.3563929757949691</v>
      </c>
      <c r="G28" s="52"/>
    </row>
    <row r="29" spans="2:8" ht="25.15" customHeight="1" x14ac:dyDescent="0.2">
      <c r="B29" s="44">
        <v>2</v>
      </c>
      <c r="C29" s="45" t="str">
        <f>'ЖЭУ 3'!AC5</f>
        <v>Холодная вода, потребляемая при содержании общего имущества в МКД</v>
      </c>
      <c r="D29" s="46" t="s">
        <v>90</v>
      </c>
      <c r="E29" s="47">
        <f ca="1">SUMIF('ЖЭУ 3'!$D$5:$AF$6,'Ленина 1'!$C29,'ЖЭУ 3'!$D$34:$AF$34)</f>
        <v>0.25591460996677745</v>
      </c>
      <c r="G29" s="52">
        <f ca="1">SUM(E28:E32)</f>
        <v>2.8956849040341721</v>
      </c>
      <c r="H29" s="52">
        <f ca="1">G29-'ЖЭУ 3'!AJ34</f>
        <v>0</v>
      </c>
    </row>
    <row r="30" spans="2:8" ht="27.6" customHeight="1" x14ac:dyDescent="0.2">
      <c r="B30" s="44">
        <v>3</v>
      </c>
      <c r="C30" s="45" t="str">
        <f>'ЖЭУ 3'!AD5</f>
        <v>Холодная вода в составе горячей на содержание общего имущества МКД</v>
      </c>
      <c r="D30" s="46" t="s">
        <v>90</v>
      </c>
      <c r="E30" s="47">
        <f ca="1">SUMIF('ЖЭУ 3'!$D$5:$AF$6,'Ленина 1'!$C30,'ЖЭУ 3'!$D$34:$AF$34)</f>
        <v>0</v>
      </c>
    </row>
    <row r="31" spans="2:8" ht="27.6" customHeight="1" x14ac:dyDescent="0.2">
      <c r="B31" s="44">
        <v>4</v>
      </c>
      <c r="C31" s="45" t="str">
        <f>'ЖЭУ 3'!AE5</f>
        <v>Горячая вода, потребляемая при содержании общего имущества в МКД</v>
      </c>
      <c r="D31" s="46" t="s">
        <v>90</v>
      </c>
      <c r="E31" s="47">
        <f ca="1">SUMIF('ЖЭУ 3'!$D$5:$AF$6,'Ленина 1'!$C31,'ЖЭУ 3'!$D$34:$AF$34)</f>
        <v>0.79</v>
      </c>
    </row>
    <row r="32" spans="2:8" ht="27.6" customHeight="1" thickBot="1" x14ac:dyDescent="0.25">
      <c r="B32" s="48">
        <v>5</v>
      </c>
      <c r="C32" s="49" t="str">
        <f>'ЖЭУ 3'!AF5</f>
        <v>Водоотведение при содержании общего имущества в МКД</v>
      </c>
      <c r="D32" s="50" t="s">
        <v>90</v>
      </c>
      <c r="E32" s="47">
        <f ca="1">SUMIF('ЖЭУ 3'!$D$5:$AF$6,'Ленина 1'!$C32,'ЖЭУ 3'!$D$34:$AF$34)</f>
        <v>0.49337731827242526</v>
      </c>
    </row>
    <row r="33" spans="2:8" ht="11.45" customHeight="1" x14ac:dyDescent="0.2">
      <c r="B33" s="53"/>
      <c r="C33" s="59"/>
      <c r="D33" s="55"/>
      <c r="E33" s="56"/>
    </row>
    <row r="34" spans="2:8" ht="21.6" customHeight="1" x14ac:dyDescent="0.2">
      <c r="B34" s="116" t="s">
        <v>92</v>
      </c>
      <c r="C34" s="116"/>
      <c r="D34" s="116"/>
      <c r="E34" s="116"/>
      <c r="G34" s="58"/>
    </row>
    <row r="35" spans="2:8" ht="15" customHeight="1" x14ac:dyDescent="0.2">
      <c r="B35" s="116"/>
      <c r="C35" s="116"/>
      <c r="D35" s="116"/>
      <c r="E35" s="116"/>
      <c r="H35" s="52"/>
    </row>
    <row r="36" spans="2:8" x14ac:dyDescent="0.2">
      <c r="B36" s="57"/>
      <c r="C36" s="59"/>
      <c r="D36" s="55"/>
      <c r="E36" s="56"/>
      <c r="G36" s="60"/>
      <c r="H36" s="61"/>
    </row>
    <row r="37" spans="2:8" x14ac:dyDescent="0.2">
      <c r="B37" s="117"/>
      <c r="C37" s="117"/>
      <c r="G37" s="60"/>
      <c r="H37" s="62"/>
    </row>
    <row r="38" spans="2:8" x14ac:dyDescent="0.2">
      <c r="B38" s="118" t="s">
        <v>93</v>
      </c>
      <c r="C38" s="118"/>
      <c r="E38" s="42" t="s">
        <v>94</v>
      </c>
      <c r="H38" s="63"/>
    </row>
  </sheetData>
  <mergeCells count="10">
    <mergeCell ref="B27:E27"/>
    <mergeCell ref="B34:E35"/>
    <mergeCell ref="B37:C37"/>
    <mergeCell ref="B38:C38"/>
    <mergeCell ref="B4:E4"/>
    <mergeCell ref="B5:B6"/>
    <mergeCell ref="C5:C6"/>
    <mergeCell ref="D5:D6"/>
    <mergeCell ref="E5:E6"/>
    <mergeCell ref="B26:C26"/>
  </mergeCells>
  <pageMargins left="0.7" right="0.7" top="0.75" bottom="0.75" header="0.3" footer="0.3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1"/>
  <sheetViews>
    <sheetView view="pageBreakPreview" topLeftCell="A21" zoomScale="75" zoomScaleNormal="100" zoomScaleSheetLayoutView="75" workbookViewId="0">
      <selection activeCell="H14" sqref="H14"/>
    </sheetView>
  </sheetViews>
  <sheetFormatPr defaultColWidth="8.85546875" defaultRowHeight="12.75" x14ac:dyDescent="0.2"/>
  <cols>
    <col min="1" max="1" width="3.42578125" style="41" customWidth="1"/>
    <col min="2" max="2" width="4.85546875" style="41" customWidth="1"/>
    <col min="3" max="3" width="43.7109375" style="41" customWidth="1"/>
    <col min="4" max="4" width="9" style="41" bestFit="1" customWidth="1"/>
    <col min="5" max="5" width="12.5703125" style="42" customWidth="1"/>
    <col min="6" max="6" width="8.85546875" style="41"/>
    <col min="7" max="7" width="9.28515625" style="41" bestFit="1" customWidth="1"/>
    <col min="8" max="16384" width="8.85546875" style="41"/>
  </cols>
  <sheetData>
    <row r="1" spans="2:9" x14ac:dyDescent="0.2">
      <c r="F1" s="43" t="s">
        <v>85</v>
      </c>
    </row>
    <row r="2" spans="2:9" ht="15" x14ac:dyDescent="0.35">
      <c r="F2" s="90" t="s">
        <v>139</v>
      </c>
    </row>
    <row r="3" spans="2:9" ht="13.5" thickBot="1" x14ac:dyDescent="0.25">
      <c r="I3" s="41" t="s">
        <v>95</v>
      </c>
    </row>
    <row r="4" spans="2:9" ht="24" customHeight="1" x14ac:dyDescent="0.2">
      <c r="B4" s="119" t="str">
        <f>CONCATENATE($I$4,$I$3)</f>
        <v>Размер платы на содержание общего имущества многоквартирного дома№ 1 ул. Ленина</v>
      </c>
      <c r="C4" s="120"/>
      <c r="D4" s="120"/>
      <c r="E4" s="121"/>
      <c r="I4" s="41" t="s">
        <v>96</v>
      </c>
    </row>
    <row r="5" spans="2:9" ht="13.9" customHeight="1" x14ac:dyDescent="0.2">
      <c r="B5" s="122" t="s">
        <v>1</v>
      </c>
      <c r="C5" s="123" t="s">
        <v>87</v>
      </c>
      <c r="D5" s="124" t="s">
        <v>88</v>
      </c>
      <c r="E5" s="125" t="s">
        <v>89</v>
      </c>
      <c r="I5" s="41" t="s">
        <v>97</v>
      </c>
    </row>
    <row r="6" spans="2:9" x14ac:dyDescent="0.2">
      <c r="B6" s="122"/>
      <c r="C6" s="123"/>
      <c r="D6" s="124"/>
      <c r="E6" s="125"/>
    </row>
    <row r="7" spans="2:9" ht="41.45" customHeight="1" x14ac:dyDescent="0.2">
      <c r="B7" s="44">
        <v>1</v>
      </c>
      <c r="C7" s="45" t="str">
        <f>'ЖЭУ 3'!D5</f>
        <v xml:space="preserve">Управление  многоквартирным домом   </v>
      </c>
      <c r="D7" s="46" t="s">
        <v>90</v>
      </c>
      <c r="E7" s="47">
        <f ca="1">SUMIF('ЖЭУ 3'!$D$5:$AF$6,'Ленина 1'!$C7,'ЖЭУ 3'!$D$8:$AF$8)</f>
        <v>5.04</v>
      </c>
    </row>
    <row r="8" spans="2:9" ht="41.45" customHeight="1" x14ac:dyDescent="0.2">
      <c r="B8" s="44">
        <v>2</v>
      </c>
      <c r="C8" s="45" t="str">
        <f>'ЖЭУ 3'!E5</f>
        <v>Уборка и санитарно-гигиеническая очистка 
лестничных клеток</v>
      </c>
      <c r="D8" s="46" t="s">
        <v>90</v>
      </c>
      <c r="E8" s="47">
        <f ca="1">SUMIF('ЖЭУ 3'!$D$5:$AF$6,'Ленина 1'!$C8,'ЖЭУ 3'!$D$8:$AF$8)</f>
        <v>5.17</v>
      </c>
    </row>
    <row r="9" spans="2:9" ht="41.45" customHeight="1" x14ac:dyDescent="0.2">
      <c r="B9" s="44">
        <v>3</v>
      </c>
      <c r="C9" s="45" t="str">
        <f>'ЖЭУ 3'!F5</f>
        <v>Уборка и санитарно-гигиеническая очистка земельного участка и контейнерных площадок</v>
      </c>
      <c r="D9" s="46" t="s">
        <v>90</v>
      </c>
      <c r="E9" s="47">
        <f ca="1">SUMIF('ЖЭУ 3'!$D$5:$AF$6,'Ленина 1'!$C9,'ЖЭУ 3'!$D$8:$AF$8)</f>
        <v>8.16</v>
      </c>
    </row>
    <row r="10" spans="2:9" ht="41.45" customHeight="1" x14ac:dyDescent="0.2">
      <c r="B10" s="44">
        <v>4</v>
      </c>
      <c r="C10" s="45" t="str">
        <f>'ЖЭУ 3'!G5</f>
        <v>Содержание и техническое обслуживание конструктивных элементов</v>
      </c>
      <c r="D10" s="46" t="s">
        <v>90</v>
      </c>
      <c r="E10" s="47">
        <f ca="1">SUMIF('ЖЭУ 3'!$D$5:$AF$6,'Ленина 1'!$C10,'ЖЭУ 3'!$D$8:$AF$8)</f>
        <v>2.12</v>
      </c>
    </row>
    <row r="11" spans="2:9" ht="41.45" customHeight="1" x14ac:dyDescent="0.2">
      <c r="B11" s="44">
        <v>5</v>
      </c>
      <c r="C11" s="45" t="str">
        <f>'ЖЭУ 3'!H5</f>
        <v>Содержание и техническое обслуживание внутридомовых систем холодного и горячего водоснабжения, отопления и канализации</v>
      </c>
      <c r="D11" s="46" t="s">
        <v>90</v>
      </c>
      <c r="E11" s="47">
        <f ca="1">SUMIF('ЖЭУ 3'!$D$5:$AF$6,'Ленина 1'!$C11,'ЖЭУ 3'!$D$8:$AF$8)</f>
        <v>2.9</v>
      </c>
    </row>
    <row r="12" spans="2:9" ht="41.45" customHeight="1" x14ac:dyDescent="0.2">
      <c r="B12" s="44">
        <v>6</v>
      </c>
      <c r="C12" s="45" t="str">
        <f>'ЖЭУ 3'!I5</f>
        <v>Содержание и техническое обслуживание внутридомовых систем электроснабжения</v>
      </c>
      <c r="D12" s="46" t="s">
        <v>90</v>
      </c>
      <c r="E12" s="47">
        <f ca="1">SUMIF('ЖЭУ 3'!$D$5:$AF$6,'Ленина 1'!$C12,'ЖЭУ 3'!$D$8:$AF$8)</f>
        <v>2.63</v>
      </c>
    </row>
    <row r="13" spans="2:9" ht="41.45" customHeight="1" x14ac:dyDescent="0.2">
      <c r="B13" s="44">
        <v>7</v>
      </c>
      <c r="C13" s="45" t="str">
        <f>'ЖЭУ 3'!J5</f>
        <v>Текущий ремонт МКД</v>
      </c>
      <c r="D13" s="46" t="s">
        <v>90</v>
      </c>
      <c r="E13" s="47">
        <f ca="1">SUMIF('ЖЭУ 3'!$D$5:$AF$6,'Ленина 1'!$C13,'ЖЭУ 3'!$D$8:$AF$8)</f>
        <v>9.1440000000000001</v>
      </c>
    </row>
    <row r="14" spans="2:9" ht="41.45" customHeight="1" x14ac:dyDescent="0.2">
      <c r="B14" s="44">
        <v>8</v>
      </c>
      <c r="C14" s="45" t="str">
        <f>'ЖЭУ 3'!P5</f>
        <v>Дератизация, дезинсекция помещений</v>
      </c>
      <c r="D14" s="46" t="s">
        <v>90</v>
      </c>
      <c r="E14" s="47">
        <f ca="1">SUMIF('ЖЭУ 3'!$D$5:$AF$6,'Ленина 1'!$C14,'ЖЭУ 3'!$D$8:$AF$8)</f>
        <v>0.11</v>
      </c>
    </row>
    <row r="15" spans="2:9" ht="41.45" customHeight="1" x14ac:dyDescent="0.2">
      <c r="B15" s="44">
        <v>9</v>
      </c>
      <c r="C15" s="45" t="str">
        <f>'ЖЭУ 3'!Q5</f>
        <v>Благоустройство придомовой территории</v>
      </c>
      <c r="D15" s="46" t="s">
        <v>90</v>
      </c>
      <c r="E15" s="47">
        <f ca="1">SUMIF('ЖЭУ 3'!$D$5:$AF$6,'Ленина 1'!$C15,'ЖЭУ 3'!$D$8:$AF$8)</f>
        <v>0.37</v>
      </c>
    </row>
    <row r="16" spans="2:9" ht="41.45" customHeight="1" x14ac:dyDescent="0.2">
      <c r="B16" s="44">
        <v>10</v>
      </c>
      <c r="C16" s="45" t="str">
        <f>'ЖЭУ 3'!R5</f>
        <v>Сбор и вывоз твердых коммунальных отходов</v>
      </c>
      <c r="D16" s="46" t="s">
        <v>90</v>
      </c>
      <c r="E16" s="47">
        <f ca="1">SUMIF('ЖЭУ 3'!$D$5:$AF$6,'Ленина 1'!$C16,'ЖЭУ 3'!$D$8:$AF$8)</f>
        <v>1.32</v>
      </c>
    </row>
    <row r="17" spans="2:8" ht="41.45" customHeight="1" x14ac:dyDescent="0.2">
      <c r="B17" s="44">
        <v>11</v>
      </c>
      <c r="C17" s="45" t="str">
        <f>'ЖЭУ 3'!S5</f>
        <v>Механизированная уборка территорий от снега</v>
      </c>
      <c r="D17" s="46" t="s">
        <v>90</v>
      </c>
      <c r="E17" s="47">
        <f ca="1">SUMIF('ЖЭУ 3'!$D$5:$AF$6,'Ленина 1'!$C17,'ЖЭУ 3'!$D$8:$AF$8)</f>
        <v>0.85</v>
      </c>
    </row>
    <row r="18" spans="2:8" ht="41.45" customHeight="1" x14ac:dyDescent="0.2">
      <c r="B18" s="44">
        <v>12</v>
      </c>
      <c r="C18" s="45" t="str">
        <f>'ЖЭУ 3'!T5</f>
        <v>Содержание, техническое обслуживание КОДПУ тепловой энергии на отопление</v>
      </c>
      <c r="D18" s="46" t="s">
        <v>90</v>
      </c>
      <c r="E18" s="47">
        <f ca="1">SUMIF('ЖЭУ 3'!$D$5:$AF$6,'Ленина 1'!$C18,'ЖЭУ 3'!$D$8:$AF$8)</f>
        <v>0.31</v>
      </c>
    </row>
    <row r="19" spans="2:8" ht="41.45" customHeight="1" x14ac:dyDescent="0.2">
      <c r="B19" s="44">
        <v>13</v>
      </c>
      <c r="C19" s="45" t="str">
        <f>'ЖЭУ 3'!U5</f>
        <v>Содержание, техническое обслуживание КОДПУ горячего водоснабжения</v>
      </c>
      <c r="D19" s="46" t="s">
        <v>90</v>
      </c>
      <c r="E19" s="47">
        <f ca="1">SUMIF('ЖЭУ 3'!$D$5:$AF$6,'Ленина 1'!$C19,'ЖЭУ 3'!$D$8:$AF$8)</f>
        <v>0</v>
      </c>
    </row>
    <row r="20" spans="2:8" ht="41.45" customHeight="1" x14ac:dyDescent="0.2">
      <c r="B20" s="44">
        <v>14</v>
      </c>
      <c r="C20" s="45" t="str">
        <f>'ЖЭУ 3'!V5</f>
        <v>Содержание, техническое обслуживание КОДПУ холодного водоснабжения</v>
      </c>
      <c r="D20" s="46" t="s">
        <v>90</v>
      </c>
      <c r="E20" s="47">
        <f ca="1">SUMIF('ЖЭУ 3'!$D$5:$AF$6,'Ленина 1'!$C20,'ЖЭУ 3'!$D$8:$AF$8)</f>
        <v>0.12</v>
      </c>
    </row>
    <row r="21" spans="2:8" ht="41.45" customHeight="1" x14ac:dyDescent="0.2">
      <c r="B21" s="44">
        <v>15</v>
      </c>
      <c r="C21" s="45" t="str">
        <f>'ЖЭУ 3'!W5</f>
        <v>Поверка, замена вышедшего из строя оборудования коллективног ОПУ тепловой энергии на отопление</v>
      </c>
      <c r="D21" s="46" t="s">
        <v>90</v>
      </c>
      <c r="E21" s="47">
        <f ca="1">SUMIF('ЖЭУ 3'!$D$5:$AF$6,'Ленина 1'!$C21,'ЖЭУ 3'!$D$8:$AF$8)</f>
        <v>0.18</v>
      </c>
    </row>
    <row r="22" spans="2:8" ht="41.45" customHeight="1" x14ac:dyDescent="0.2">
      <c r="B22" s="44">
        <v>16</v>
      </c>
      <c r="C22" s="45" t="str">
        <f>'ЖЭУ 3'!X5</f>
        <v>Поверка, замена вышедшего из строя оборудования коллективног ОПУ горячего водоснабжения</v>
      </c>
      <c r="D22" s="46" t="s">
        <v>90</v>
      </c>
      <c r="E22" s="47">
        <f ca="1">SUMIF('ЖЭУ 3'!$D$5:$AF$6,'Ленина 1'!$C22,'ЖЭУ 3'!$D$8:$AF$8)</f>
        <v>0.15</v>
      </c>
      <c r="G22" s="52"/>
      <c r="H22" s="52"/>
    </row>
    <row r="23" spans="2:8" ht="41.45" customHeight="1" x14ac:dyDescent="0.2">
      <c r="B23" s="44">
        <v>17</v>
      </c>
      <c r="C23" s="45" t="str">
        <f>'ЖЭУ 3'!Y5</f>
        <v>Поверка, замена вышедшего из строя оборудования коллективног ОПУ холодного водоснабжения</v>
      </c>
      <c r="D23" s="46" t="s">
        <v>90</v>
      </c>
      <c r="E23" s="47">
        <f ca="1">SUMIF('ЖЭУ 3'!$D$5:$AF$6,'Ленина 1'!$C23,'ЖЭУ 3'!$D$8:$AF$8)</f>
        <v>0.09</v>
      </c>
      <c r="G23" s="52"/>
      <c r="H23" s="52"/>
    </row>
    <row r="24" spans="2:8" ht="41.45" customHeight="1" x14ac:dyDescent="0.2">
      <c r="B24" s="44">
        <v>18</v>
      </c>
      <c r="C24" s="45" t="str">
        <f>'ЖЭУ 3'!Z5</f>
        <v>Поверка, замена вышедшего из строя оборудования коллективног ОПУ электрической энергии</v>
      </c>
      <c r="D24" s="46" t="s">
        <v>90</v>
      </c>
      <c r="E24" s="47">
        <f ca="1">SUMIF('ЖЭУ 3'!$D$5:$AF$6,'Ленина 1'!$C24,'ЖЭУ 3'!$D$8:$AF$8)</f>
        <v>0.14000000000000001</v>
      </c>
      <c r="G24" s="52"/>
      <c r="H24" s="52"/>
    </row>
    <row r="25" spans="2:8" ht="41.45" customHeight="1" thickBot="1" x14ac:dyDescent="0.25">
      <c r="B25" s="48">
        <v>19</v>
      </c>
      <c r="C25" s="49" t="str">
        <f>'ЖЭУ 3'!AA5</f>
        <v>Техническое обслуживание систем аудидомофонной связи</v>
      </c>
      <c r="D25" s="50" t="s">
        <v>90</v>
      </c>
      <c r="E25" s="51">
        <f ca="1">SUMIF('ЖЭУ 3'!$D$5:$AF$6,'Ленина 1'!$C25,'ЖЭУ 3'!$D$8:$AF$8)</f>
        <v>0</v>
      </c>
      <c r="G25" s="52">
        <f ca="1">SUM(E7:E25)</f>
        <v>38.804000000000002</v>
      </c>
      <c r="H25" s="52">
        <f ca="1">G25-'ЖЭУ 3'!AK8</f>
        <v>0</v>
      </c>
    </row>
    <row r="26" spans="2:8" ht="10.9" customHeight="1" thickBot="1" x14ac:dyDescent="0.25">
      <c r="B26" s="116" t="s">
        <v>91</v>
      </c>
      <c r="C26" s="116"/>
    </row>
    <row r="27" spans="2:8" ht="43.15" customHeight="1" x14ac:dyDescent="0.2">
      <c r="B27" s="113" t="str">
        <f>CONCATENATE($I$5,$I$3)</f>
        <v>Расходы по коммунальным услугам, потребленным на содержание общего иммущества многоквартирного дома№ 1 ул. Ленина</v>
      </c>
      <c r="C27" s="114"/>
      <c r="D27" s="114"/>
      <c r="E27" s="115"/>
    </row>
    <row r="28" spans="2:8" ht="31.9" customHeight="1" x14ac:dyDescent="0.2">
      <c r="B28" s="44">
        <v>1</v>
      </c>
      <c r="C28" s="45" t="str">
        <f>'ЖЭУ 3'!AB5</f>
        <v>Электрическая энергия, потребляемая при содержании общего имущества в МКД</v>
      </c>
      <c r="D28" s="46" t="s">
        <v>90</v>
      </c>
      <c r="E28" s="47">
        <f ca="1">SUMIF('ЖЭУ 3'!$D$5:$AF$6,'Ленина 1'!$C28,'ЖЭУ 3'!$D$8:$AF$8)</f>
        <v>1.0796201105328112</v>
      </c>
    </row>
    <row r="29" spans="2:8" ht="25.15" customHeight="1" x14ac:dyDescent="0.2">
      <c r="B29" s="44">
        <v>2</v>
      </c>
      <c r="C29" s="45" t="str">
        <f>'ЖЭУ 3'!AC5</f>
        <v>Холодная вода, потребляемая при содержании общего имущества в МКД</v>
      </c>
      <c r="D29" s="46" t="s">
        <v>90</v>
      </c>
      <c r="E29" s="47">
        <f ca="1">SUMIF('ЖЭУ 3'!$D$5:$AF$6,'Ленина 1'!$C29,'ЖЭУ 3'!$D$8:$AF$8)</f>
        <v>0.16996950152921605</v>
      </c>
    </row>
    <row r="30" spans="2:8" ht="25.15" customHeight="1" x14ac:dyDescent="0.2">
      <c r="B30" s="44">
        <v>3</v>
      </c>
      <c r="C30" s="45" t="str">
        <f>'ЖЭУ 3'!AD5</f>
        <v>Холодная вода в составе горячей на содержание общего имущества МКД</v>
      </c>
      <c r="D30" s="46" t="s">
        <v>90</v>
      </c>
      <c r="E30" s="47">
        <f ca="1">SUMIF('ЖЭУ 3'!$D$5:$AF$6,'Ленина 1'!$C30,'ЖЭУ 3'!$D$8:$AF$8)</f>
        <v>0.56549702205290542</v>
      </c>
    </row>
    <row r="31" spans="2:8" ht="25.15" customHeight="1" x14ac:dyDescent="0.2">
      <c r="B31" s="44">
        <v>4</v>
      </c>
      <c r="C31" s="45" t="str">
        <f>'ЖЭУ 3'!AE5</f>
        <v>Горячая вода, потребляемая при содержании общего имущества в МКД</v>
      </c>
      <c r="D31" s="46" t="s">
        <v>90</v>
      </c>
      <c r="E31" s="47">
        <f ca="1">SUMIF('ЖЭУ 3'!$D$5:$AF$6,'Ленина 1'!$C31,'ЖЭУ 3'!$D$8:$AF$8)</f>
        <v>0</v>
      </c>
      <c r="G31" s="52"/>
    </row>
    <row r="32" spans="2:8" ht="25.15" customHeight="1" thickBot="1" x14ac:dyDescent="0.25">
      <c r="B32" s="48">
        <v>5</v>
      </c>
      <c r="C32" s="49" t="str">
        <f>'ЖЭУ 3'!AF5</f>
        <v>Водоотведение при содержании общего имущества в МКД</v>
      </c>
      <c r="D32" s="50" t="s">
        <v>90</v>
      </c>
      <c r="E32" s="51">
        <f ca="1">SUMIF('ЖЭУ 3'!$D$5:$AF$6,'Ленина 1'!$C32,'ЖЭУ 3'!$D$8:$AF$8)</f>
        <v>0.32768389762300792</v>
      </c>
      <c r="G32" s="52">
        <f ca="1">SUM(E28:E32)</f>
        <v>2.1427705317379404</v>
      </c>
      <c r="H32" s="52">
        <f ca="1">G32-'ЖЭУ 3'!AJ8</f>
        <v>0</v>
      </c>
    </row>
    <row r="33" spans="2:8" ht="6.6" customHeight="1" x14ac:dyDescent="0.2">
      <c r="B33" s="53"/>
      <c r="C33" s="54"/>
      <c r="D33" s="55"/>
      <c r="E33" s="56"/>
    </row>
    <row r="34" spans="2:8" ht="11.45" customHeight="1" x14ac:dyDescent="0.2">
      <c r="B34" s="116" t="s">
        <v>92</v>
      </c>
      <c r="C34" s="116"/>
      <c r="D34" s="116"/>
      <c r="E34" s="116"/>
    </row>
    <row r="35" spans="2:8" ht="35.450000000000003" customHeight="1" x14ac:dyDescent="0.2">
      <c r="B35" s="116"/>
      <c r="C35" s="116"/>
      <c r="D35" s="116"/>
      <c r="E35" s="116"/>
    </row>
    <row r="36" spans="2:8" ht="11.45" customHeight="1" x14ac:dyDescent="0.2">
      <c r="B36" s="57"/>
      <c r="C36" s="54"/>
      <c r="D36" s="55"/>
      <c r="E36" s="56"/>
    </row>
    <row r="37" spans="2:8" ht="21.6" customHeight="1" x14ac:dyDescent="0.2">
      <c r="B37" s="117"/>
      <c r="C37" s="117"/>
      <c r="G37" s="58"/>
    </row>
    <row r="38" spans="2:8" ht="15" customHeight="1" x14ac:dyDescent="0.2">
      <c r="B38" s="118" t="s">
        <v>93</v>
      </c>
      <c r="C38" s="118"/>
      <c r="E38" s="42" t="s">
        <v>94</v>
      </c>
      <c r="H38" s="52"/>
    </row>
    <row r="39" spans="2:8" x14ac:dyDescent="0.2">
      <c r="G39" s="60"/>
      <c r="H39" s="61"/>
    </row>
    <row r="40" spans="2:8" x14ac:dyDescent="0.2">
      <c r="G40" s="60"/>
      <c r="H40" s="62"/>
    </row>
    <row r="41" spans="2:8" x14ac:dyDescent="0.2">
      <c r="H41" s="63"/>
    </row>
  </sheetData>
  <mergeCells count="10">
    <mergeCell ref="B27:E27"/>
    <mergeCell ref="B34:E35"/>
    <mergeCell ref="B37:C37"/>
    <mergeCell ref="B38:C38"/>
    <mergeCell ref="B4:E4"/>
    <mergeCell ref="B5:B6"/>
    <mergeCell ref="C5:C6"/>
    <mergeCell ref="D5:D6"/>
    <mergeCell ref="E5:E6"/>
    <mergeCell ref="B26:C26"/>
  </mergeCells>
  <pageMargins left="0.7" right="0.7" top="0.75" bottom="0.75" header="0.3" footer="0.3"/>
  <pageSetup paperSize="9" scale="66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view="pageBreakPreview" zoomScale="75" zoomScaleNormal="100" zoomScaleSheetLayoutView="75" workbookViewId="0">
      <selection activeCell="J12" sqref="J12"/>
    </sheetView>
  </sheetViews>
  <sheetFormatPr defaultColWidth="8.85546875" defaultRowHeight="12.75" x14ac:dyDescent="0.2"/>
  <cols>
    <col min="1" max="1" width="3.42578125" style="41" customWidth="1"/>
    <col min="2" max="2" width="4.85546875" style="41" customWidth="1"/>
    <col min="3" max="3" width="43.7109375" style="41" customWidth="1"/>
    <col min="4" max="4" width="9" style="41" bestFit="1" customWidth="1"/>
    <col min="5" max="5" width="12.5703125" style="42" customWidth="1"/>
    <col min="6" max="16384" width="8.85546875" style="41"/>
  </cols>
  <sheetData>
    <row r="1" spans="2:9" x14ac:dyDescent="0.2">
      <c r="F1" s="43" t="s">
        <v>85</v>
      </c>
    </row>
    <row r="2" spans="2:9" ht="15" x14ac:dyDescent="0.35">
      <c r="F2" s="90" t="s">
        <v>139</v>
      </c>
    </row>
    <row r="3" spans="2:9" ht="13.5" thickBot="1" x14ac:dyDescent="0.25">
      <c r="I3" s="41" t="s">
        <v>131</v>
      </c>
    </row>
    <row r="4" spans="2:9" ht="24" customHeight="1" x14ac:dyDescent="0.2">
      <c r="B4" s="119" t="str">
        <f>CONCATENATE($I$4,$I$3)</f>
        <v>Размер платы на содержание общего имущества многоквартирного дома№ 21 ул. Мира и вставка</v>
      </c>
      <c r="C4" s="120"/>
      <c r="D4" s="120"/>
      <c r="E4" s="121"/>
      <c r="I4" s="41" t="s">
        <v>96</v>
      </c>
    </row>
    <row r="5" spans="2:9" ht="13.9" customHeight="1" x14ac:dyDescent="0.2">
      <c r="B5" s="122" t="s">
        <v>1</v>
      </c>
      <c r="C5" s="123" t="s">
        <v>87</v>
      </c>
      <c r="D5" s="124" t="s">
        <v>88</v>
      </c>
      <c r="E5" s="125" t="s">
        <v>89</v>
      </c>
      <c r="I5" s="41" t="s">
        <v>97</v>
      </c>
    </row>
    <row r="6" spans="2:9" x14ac:dyDescent="0.2">
      <c r="B6" s="122"/>
      <c r="C6" s="123"/>
      <c r="D6" s="124"/>
      <c r="E6" s="125"/>
    </row>
    <row r="7" spans="2:9" ht="41.45" customHeight="1" x14ac:dyDescent="0.2">
      <c r="B7" s="44">
        <v>1</v>
      </c>
      <c r="C7" s="45" t="str">
        <f>'ЖЭУ 3'!D5</f>
        <v xml:space="preserve">Управление  многоквартирным домом   </v>
      </c>
      <c r="D7" s="46" t="s">
        <v>90</v>
      </c>
      <c r="E7" s="47">
        <f ca="1">SUMIF('ЖЭУ 3'!$D$5:$AF$6,'Ленина 1'!$C7,'ЖЭУ 3'!$D$35:$AF$35)</f>
        <v>5.04</v>
      </c>
    </row>
    <row r="8" spans="2:9" ht="41.45" customHeight="1" x14ac:dyDescent="0.2">
      <c r="B8" s="44">
        <v>2</v>
      </c>
      <c r="C8" s="45" t="str">
        <f>'ЖЭУ 3'!E5</f>
        <v>Уборка и санитарно-гигиеническая очистка 
лестничных клеток</v>
      </c>
      <c r="D8" s="46" t="s">
        <v>90</v>
      </c>
      <c r="E8" s="47">
        <f ca="1">SUMIF('ЖЭУ 3'!$D$5:$AF$6,'Ленина 1'!$C8,'ЖЭУ 3'!$D$35:$AF$35)</f>
        <v>5.89</v>
      </c>
    </row>
    <row r="9" spans="2:9" ht="41.45" customHeight="1" x14ac:dyDescent="0.2">
      <c r="B9" s="44">
        <v>3</v>
      </c>
      <c r="C9" s="45" t="str">
        <f>'ЖЭУ 3'!F5</f>
        <v>Уборка и санитарно-гигиеническая очистка земельного участка и контейнерных площадок</v>
      </c>
      <c r="D9" s="46" t="s">
        <v>90</v>
      </c>
      <c r="E9" s="47">
        <f ca="1">SUMIF('ЖЭУ 3'!$D$5:$AF$6,'Ленина 1'!$C9,'ЖЭУ 3'!$D$35:$AF$35)</f>
        <v>3.98</v>
      </c>
    </row>
    <row r="10" spans="2:9" ht="41.45" customHeight="1" x14ac:dyDescent="0.2">
      <c r="B10" s="44">
        <v>4</v>
      </c>
      <c r="C10" s="45" t="str">
        <f>'ЖЭУ 3'!G5</f>
        <v>Содержание и техническое обслуживание конструктивных элементов</v>
      </c>
      <c r="D10" s="46" t="s">
        <v>90</v>
      </c>
      <c r="E10" s="47">
        <f ca="1">SUMIF('ЖЭУ 3'!$D$5:$AF$6,'Ленина 1'!$C10,'ЖЭУ 3'!$D$35:$AF$35)</f>
        <v>3.3</v>
      </c>
    </row>
    <row r="11" spans="2:9" ht="41.45" customHeight="1" x14ac:dyDescent="0.2">
      <c r="B11" s="44">
        <v>5</v>
      </c>
      <c r="C11" s="45" t="str">
        <f>'ЖЭУ 3'!H5</f>
        <v>Содержание и техническое обслуживание внутридомовых систем холодного и горячего водоснабжения, отопления и канализации</v>
      </c>
      <c r="D11" s="46" t="s">
        <v>90</v>
      </c>
      <c r="E11" s="47">
        <f ca="1">SUMIF('ЖЭУ 3'!$D$5:$AF$6,'Ленина 1'!$C11,'ЖЭУ 3'!$D$35:$AF$35)</f>
        <v>3.56</v>
      </c>
    </row>
    <row r="12" spans="2:9" ht="41.45" customHeight="1" x14ac:dyDescent="0.2">
      <c r="B12" s="44">
        <v>6</v>
      </c>
      <c r="C12" s="45" t="str">
        <f>'ЖЭУ 3'!I5</f>
        <v>Содержание и техническое обслуживание внутридомовых систем электроснабжения</v>
      </c>
      <c r="D12" s="46" t="s">
        <v>90</v>
      </c>
      <c r="E12" s="47">
        <f ca="1">SUMIF('ЖЭУ 3'!$D$5:$AF$6,'Ленина 1'!$C12,'ЖЭУ 3'!$D$35:$AF$35)</f>
        <v>3</v>
      </c>
    </row>
    <row r="13" spans="2:9" ht="41.45" customHeight="1" x14ac:dyDescent="0.2">
      <c r="B13" s="44">
        <v>7</v>
      </c>
      <c r="C13" s="45" t="str">
        <f>'ЖЭУ 3'!J5</f>
        <v>Текущий ремонт МКД</v>
      </c>
      <c r="D13" s="46" t="s">
        <v>90</v>
      </c>
      <c r="E13" s="47">
        <f ca="1">SUMIF('ЖЭУ 3'!$D$5:$AF$6,'Ленина 1'!$C13,'ЖЭУ 3'!$D$35:$AF$35)</f>
        <v>10.174999999999999</v>
      </c>
    </row>
    <row r="14" spans="2:9" ht="41.45" customHeight="1" x14ac:dyDescent="0.2">
      <c r="B14" s="44">
        <v>8</v>
      </c>
      <c r="C14" s="45" t="str">
        <f>'ЖЭУ 3'!P5</f>
        <v>Дератизация, дезинсекция помещений</v>
      </c>
      <c r="D14" s="46" t="s">
        <v>90</v>
      </c>
      <c r="E14" s="47">
        <f ca="1">SUMIF('ЖЭУ 3'!$D$5:$AF$6,'Ленина 1'!$C14,'ЖЭУ 3'!$D$35:$AF$35)</f>
        <v>0.11</v>
      </c>
    </row>
    <row r="15" spans="2:9" ht="41.45" customHeight="1" x14ac:dyDescent="0.2">
      <c r="B15" s="44">
        <v>9</v>
      </c>
      <c r="C15" s="45" t="str">
        <f>'ЖЭУ 3'!Q5</f>
        <v>Благоустройство придомовой территории</v>
      </c>
      <c r="D15" s="46" t="s">
        <v>90</v>
      </c>
      <c r="E15" s="47">
        <f ca="1">SUMIF('ЖЭУ 3'!$D$5:$AF$6,'Ленина 1'!$C15,'ЖЭУ 3'!$D$35:$AF$35)</f>
        <v>0.37</v>
      </c>
    </row>
    <row r="16" spans="2:9" ht="41.45" customHeight="1" x14ac:dyDescent="0.2">
      <c r="B16" s="44">
        <v>10</v>
      </c>
      <c r="C16" s="45" t="str">
        <f>'ЖЭУ 3'!R5</f>
        <v>Сбор и вывоз твердых коммунальных отходов</v>
      </c>
      <c r="D16" s="46" t="s">
        <v>90</v>
      </c>
      <c r="E16" s="47">
        <f ca="1">SUMIF('ЖЭУ 3'!$D$5:$AF$6,'Ленина 1'!$C16,'ЖЭУ 3'!$D$35:$AF$35)</f>
        <v>1.1200000000000001</v>
      </c>
    </row>
    <row r="17" spans="2:8" ht="41.45" customHeight="1" x14ac:dyDescent="0.2">
      <c r="B17" s="44">
        <v>11</v>
      </c>
      <c r="C17" s="45" t="str">
        <f>'ЖЭУ 3'!S5</f>
        <v>Механизированная уборка территорий от снега</v>
      </c>
      <c r="D17" s="46" t="s">
        <v>90</v>
      </c>
      <c r="E17" s="47">
        <f ca="1">SUMIF('ЖЭУ 3'!$D$5:$AF$6,'Ленина 1'!$C17,'ЖЭУ 3'!$D$35:$AF$35)</f>
        <v>0.67</v>
      </c>
    </row>
    <row r="18" spans="2:8" ht="41.45" customHeight="1" x14ac:dyDescent="0.2">
      <c r="B18" s="44">
        <v>12</v>
      </c>
      <c r="C18" s="45" t="str">
        <f>'ЖЭУ 3'!T5</f>
        <v>Содержание, техническое обслуживание КОДПУ тепловой энергии на отопление</v>
      </c>
      <c r="D18" s="46" t="s">
        <v>90</v>
      </c>
      <c r="E18" s="47">
        <f ca="1">SUMIF('ЖЭУ 3'!$D$5:$AF$6,'Ленина 1'!$C18,'ЖЭУ 3'!$D$35:$AF$35)</f>
        <v>0.5</v>
      </c>
    </row>
    <row r="19" spans="2:8" ht="41.45" customHeight="1" x14ac:dyDescent="0.2">
      <c r="B19" s="44">
        <v>13</v>
      </c>
      <c r="C19" s="45" t="str">
        <f>'ЖЭУ 3'!U5</f>
        <v>Содержание, техническое обслуживание КОДПУ горячего водоснабжения</v>
      </c>
      <c r="D19" s="46" t="s">
        <v>90</v>
      </c>
      <c r="E19" s="47">
        <f ca="1">SUMIF('ЖЭУ 3'!$D$5:$AF$6,'Ленина 1'!$C19,'ЖЭУ 3'!$D$35:$AF$35)</f>
        <v>0</v>
      </c>
    </row>
    <row r="20" spans="2:8" ht="41.45" customHeight="1" x14ac:dyDescent="0.2">
      <c r="B20" s="44">
        <v>14</v>
      </c>
      <c r="C20" s="45" t="str">
        <f>'ЖЭУ 3'!V5</f>
        <v>Содержание, техническое обслуживание КОДПУ холодного водоснабжения</v>
      </c>
      <c r="D20" s="46" t="s">
        <v>90</v>
      </c>
      <c r="E20" s="47">
        <f ca="1">SUMIF('ЖЭУ 3'!$D$5:$AF$6,'Ленина 1'!$C20,'ЖЭУ 3'!$D$35:$AF$35)</f>
        <v>0.36</v>
      </c>
    </row>
    <row r="21" spans="2:8" ht="41.45" customHeight="1" x14ac:dyDescent="0.2">
      <c r="B21" s="44">
        <v>15</v>
      </c>
      <c r="C21" s="45" t="str">
        <f>'ЖЭУ 3'!W5</f>
        <v>Поверка, замена вышедшего из строя оборудования коллективног ОПУ тепловой энергии на отопление</v>
      </c>
      <c r="D21" s="46" t="s">
        <v>90</v>
      </c>
      <c r="E21" s="47">
        <f ca="1">SUMIF('ЖЭУ 3'!$D$5:$AF$6,'Ленина 1'!$C21,'ЖЭУ 3'!$D$35:$AF$35)</f>
        <v>0.35</v>
      </c>
    </row>
    <row r="22" spans="2:8" ht="41.45" customHeight="1" x14ac:dyDescent="0.2">
      <c r="B22" s="44">
        <v>16</v>
      </c>
      <c r="C22" s="45" t="str">
        <f>'ЖЭУ 3'!X5</f>
        <v>Поверка, замена вышедшего из строя оборудования коллективног ОПУ горячего водоснабжения</v>
      </c>
      <c r="D22" s="46" t="s">
        <v>90</v>
      </c>
      <c r="E22" s="47">
        <f ca="1">SUMIF('ЖЭУ 3'!$D$5:$AF$6,'Ленина 1'!$C22,'ЖЭУ 3'!$D$35:$AF$35)</f>
        <v>0</v>
      </c>
      <c r="G22" s="52">
        <f ca="1">SUM(E7:E25)</f>
        <v>38.934999999999995</v>
      </c>
      <c r="H22" s="52">
        <f ca="1">G22-'ЖЭУ 3'!AK34</f>
        <v>-0.35000000000000142</v>
      </c>
    </row>
    <row r="23" spans="2:8" ht="33" customHeight="1" x14ac:dyDescent="0.2">
      <c r="B23" s="44">
        <v>17</v>
      </c>
      <c r="C23" s="45" t="str">
        <f>'ЖЭУ 3'!Y5</f>
        <v>Поверка, замена вышедшего из строя оборудования коллективног ОПУ холодного водоснабжения</v>
      </c>
      <c r="D23" s="46" t="s">
        <v>90</v>
      </c>
      <c r="E23" s="47">
        <f ca="1">SUMIF('ЖЭУ 3'!$D$5:$AF$6,'Ленина 1'!$C23,'ЖЭУ 3'!$D$35:$AF$35)</f>
        <v>0.14000000000000001</v>
      </c>
    </row>
    <row r="24" spans="2:8" ht="43.15" customHeight="1" x14ac:dyDescent="0.2">
      <c r="B24" s="44">
        <v>18</v>
      </c>
      <c r="C24" s="45" t="str">
        <f>'ЖЭУ 3'!Z5</f>
        <v>Поверка, замена вышедшего из строя оборудования коллективног ОПУ электрической энергии</v>
      </c>
      <c r="D24" s="46" t="s">
        <v>90</v>
      </c>
      <c r="E24" s="47">
        <f ca="1">SUMIF('ЖЭУ 3'!$D$5:$AF$6,'Ленина 1'!$C24,'ЖЭУ 3'!$D$35:$AF$35)</f>
        <v>0.37</v>
      </c>
    </row>
    <row r="25" spans="2:8" ht="31.9" customHeight="1" thickBot="1" x14ac:dyDescent="0.25">
      <c r="B25" s="48">
        <v>19</v>
      </c>
      <c r="C25" s="49" t="str">
        <f>'ЖЭУ 3'!AA5</f>
        <v>Техническое обслуживание систем аудидомофонной связи</v>
      </c>
      <c r="D25" s="50" t="s">
        <v>90</v>
      </c>
      <c r="E25" s="51">
        <f ca="1">SUMIF('ЖЭУ 3'!$D$5:$AF$6,'Ленина 1'!$C25,'ЖЭУ 3'!$D$35:$AF$35)</f>
        <v>0</v>
      </c>
    </row>
    <row r="26" spans="2:8" ht="11.45" customHeight="1" thickBot="1" x14ac:dyDescent="0.25">
      <c r="B26" s="116" t="s">
        <v>91</v>
      </c>
      <c r="C26" s="116"/>
    </row>
    <row r="27" spans="2:8" ht="25.15" customHeight="1" x14ac:dyDescent="0.2">
      <c r="B27" s="113" t="str">
        <f>CONCATENATE($I$5,$I$3)</f>
        <v>Расходы по коммунальным услугам, потребленным на содержание общего иммущества многоквартирного дома№ 21 ул. Мира и вставка</v>
      </c>
      <c r="C27" s="114"/>
      <c r="D27" s="114"/>
      <c r="E27" s="115"/>
    </row>
    <row r="28" spans="2:8" ht="25.15" customHeight="1" x14ac:dyDescent="0.2">
      <c r="B28" s="44">
        <v>1</v>
      </c>
      <c r="C28" s="45" t="str">
        <f>'ЖЭУ 3'!AB5</f>
        <v>Электрическая энергия, потребляемая при содержании общего имущества в МКД</v>
      </c>
      <c r="D28" s="46" t="s">
        <v>90</v>
      </c>
      <c r="E28" s="47">
        <f ca="1">SUMIF('ЖЭУ 3'!$D$5:$AF$6,'Ленина 1'!$C28,'ЖЭУ 3'!$D$35:$AF$35)</f>
        <v>1.0797343786027207</v>
      </c>
      <c r="G28" s="52"/>
    </row>
    <row r="29" spans="2:8" ht="25.15" customHeight="1" x14ac:dyDescent="0.2">
      <c r="B29" s="44">
        <v>2</v>
      </c>
      <c r="C29" s="45" t="str">
        <f>'ЖЭУ 3'!AC5</f>
        <v>Холодная вода, потребляемая при содержании общего имущества в МКД</v>
      </c>
      <c r="D29" s="46" t="s">
        <v>90</v>
      </c>
      <c r="E29" s="47">
        <f ca="1">SUMIF('ЖЭУ 3'!$D$5:$AF$6,'Ленина 1'!$C29,'ЖЭУ 3'!$D$35:$AF$35)</f>
        <v>0.16828433663822914</v>
      </c>
      <c r="G29" s="52">
        <f ca="1">SUM(E28:E32)</f>
        <v>2.1323441807701173</v>
      </c>
      <c r="H29" s="52">
        <f ca="1">G29-'ЖЭУ 3'!AJ35</f>
        <v>0</v>
      </c>
    </row>
    <row r="30" spans="2:8" ht="27.6" customHeight="1" x14ac:dyDescent="0.2">
      <c r="B30" s="44">
        <v>3</v>
      </c>
      <c r="C30" s="45" t="str">
        <f>'ЖЭУ 3'!AD5</f>
        <v>Холодная вода в составе горячей на содержание общего имущества МКД</v>
      </c>
      <c r="D30" s="46" t="s">
        <v>90</v>
      </c>
      <c r="E30" s="47">
        <f ca="1">SUMIF('ЖЭУ 3'!$D$5:$AF$6,'Ленина 1'!$C30,'ЖЭУ 3'!$D$35:$AF$35)</f>
        <v>0.55989039428176146</v>
      </c>
    </row>
    <row r="31" spans="2:8" ht="27.6" customHeight="1" x14ac:dyDescent="0.2">
      <c r="B31" s="44">
        <v>4</v>
      </c>
      <c r="C31" s="45" t="str">
        <f>'ЖЭУ 3'!AE5</f>
        <v>Горячая вода, потребляемая при содержании общего имущества в МКД</v>
      </c>
      <c r="D31" s="46" t="s">
        <v>90</v>
      </c>
      <c r="E31" s="47">
        <f ca="1">SUMIF('ЖЭУ 3'!$D$5:$AF$6,'Ленина 1'!$C31,'ЖЭУ 3'!$D$35:$AF$35)</f>
        <v>0</v>
      </c>
    </row>
    <row r="32" spans="2:8" ht="27.6" customHeight="1" thickBot="1" x14ac:dyDescent="0.25">
      <c r="B32" s="48">
        <v>5</v>
      </c>
      <c r="C32" s="49" t="str">
        <f>'ЖЭУ 3'!AF5</f>
        <v>Водоотведение при содержании общего имущества в МКД</v>
      </c>
      <c r="D32" s="50" t="s">
        <v>90</v>
      </c>
      <c r="E32" s="47">
        <f ca="1">SUMIF('ЖЭУ 3'!$D$5:$AF$6,'Ленина 1'!$C32,'ЖЭУ 3'!$D$35:$AF$35)</f>
        <v>0.324435071247406</v>
      </c>
    </row>
    <row r="33" spans="2:8" ht="11.45" customHeight="1" x14ac:dyDescent="0.2">
      <c r="B33" s="53"/>
      <c r="C33" s="59"/>
      <c r="D33" s="55"/>
      <c r="E33" s="56"/>
    </row>
    <row r="34" spans="2:8" ht="21.6" customHeight="1" x14ac:dyDescent="0.2">
      <c r="B34" s="116" t="s">
        <v>92</v>
      </c>
      <c r="C34" s="116"/>
      <c r="D34" s="116"/>
      <c r="E34" s="116"/>
      <c r="G34" s="58"/>
    </row>
    <row r="35" spans="2:8" ht="15" customHeight="1" x14ac:dyDescent="0.2">
      <c r="B35" s="116"/>
      <c r="C35" s="116"/>
      <c r="D35" s="116"/>
      <c r="E35" s="116"/>
      <c r="H35" s="52"/>
    </row>
    <row r="36" spans="2:8" x14ac:dyDescent="0.2">
      <c r="B36" s="57"/>
      <c r="C36" s="59"/>
      <c r="D36" s="55"/>
      <c r="E36" s="56"/>
      <c r="G36" s="60"/>
      <c r="H36" s="61"/>
    </row>
    <row r="37" spans="2:8" x14ac:dyDescent="0.2">
      <c r="B37" s="117"/>
      <c r="C37" s="117"/>
      <c r="G37" s="60"/>
      <c r="H37" s="62"/>
    </row>
    <row r="38" spans="2:8" x14ac:dyDescent="0.2">
      <c r="B38" s="118" t="s">
        <v>93</v>
      </c>
      <c r="C38" s="118"/>
      <c r="E38" s="42" t="s">
        <v>94</v>
      </c>
      <c r="H38" s="63"/>
    </row>
  </sheetData>
  <mergeCells count="10">
    <mergeCell ref="B27:E27"/>
    <mergeCell ref="B34:E35"/>
    <mergeCell ref="B37:C37"/>
    <mergeCell ref="B38:C38"/>
    <mergeCell ref="B4:E4"/>
    <mergeCell ref="B5:B6"/>
    <mergeCell ref="C5:C6"/>
    <mergeCell ref="D5:D6"/>
    <mergeCell ref="E5:E6"/>
    <mergeCell ref="B26:C26"/>
  </mergeCells>
  <pageMargins left="0.7" right="0.7" top="0.75" bottom="0.75" header="0.3" footer="0.3"/>
  <pageSetup paperSize="9" scale="6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view="pageBreakPreview" zoomScale="75" zoomScaleNormal="100" zoomScaleSheetLayoutView="75" workbookViewId="0">
      <selection activeCell="H23" sqref="H23"/>
    </sheetView>
  </sheetViews>
  <sheetFormatPr defaultColWidth="8.85546875" defaultRowHeight="12.75" x14ac:dyDescent="0.2"/>
  <cols>
    <col min="1" max="1" width="3.42578125" style="41" customWidth="1"/>
    <col min="2" max="2" width="4.85546875" style="41" customWidth="1"/>
    <col min="3" max="3" width="43.7109375" style="41" customWidth="1"/>
    <col min="4" max="4" width="9" style="41" bestFit="1" customWidth="1"/>
    <col min="5" max="5" width="12.5703125" style="42" customWidth="1"/>
    <col min="6" max="16384" width="8.85546875" style="41"/>
  </cols>
  <sheetData>
    <row r="1" spans="2:9" x14ac:dyDescent="0.2">
      <c r="F1" s="43" t="s">
        <v>85</v>
      </c>
    </row>
    <row r="2" spans="2:9" x14ac:dyDescent="0.2">
      <c r="F2" s="43" t="s">
        <v>86</v>
      </c>
    </row>
    <row r="3" spans="2:9" ht="13.5" thickBot="1" x14ac:dyDescent="0.25">
      <c r="I3" s="41" t="s">
        <v>126</v>
      </c>
    </row>
    <row r="4" spans="2:9" ht="24" customHeight="1" x14ac:dyDescent="0.2">
      <c r="B4" s="119" t="str">
        <f>CONCATENATE($I$4,$I$3)</f>
        <v>Размер платы на содержание общего имущества многоквартирного дома№ 21А ул. Мира</v>
      </c>
      <c r="C4" s="120"/>
      <c r="D4" s="120"/>
      <c r="E4" s="121"/>
      <c r="I4" s="41" t="s">
        <v>96</v>
      </c>
    </row>
    <row r="5" spans="2:9" ht="13.9" customHeight="1" x14ac:dyDescent="0.2">
      <c r="B5" s="122" t="s">
        <v>1</v>
      </c>
      <c r="C5" s="123" t="s">
        <v>87</v>
      </c>
      <c r="D5" s="124" t="s">
        <v>88</v>
      </c>
      <c r="E5" s="125" t="s">
        <v>89</v>
      </c>
      <c r="I5" s="41" t="s">
        <v>97</v>
      </c>
    </row>
    <row r="6" spans="2:9" x14ac:dyDescent="0.2">
      <c r="B6" s="122"/>
      <c r="C6" s="123"/>
      <c r="D6" s="124"/>
      <c r="E6" s="125"/>
    </row>
    <row r="7" spans="2:9" ht="41.45" customHeight="1" x14ac:dyDescent="0.2">
      <c r="B7" s="44">
        <v>1</v>
      </c>
      <c r="C7" s="45" t="str">
        <f>'ЖЭУ 3'!D5</f>
        <v xml:space="preserve">Управление  многоквартирным домом   </v>
      </c>
      <c r="D7" s="46" t="s">
        <v>90</v>
      </c>
      <c r="E7" s="47">
        <f ca="1">SUMIF('ЖЭУ 3'!$D$5:$AF$6,'Ленина 1'!$C7,'ЖЭУ 3'!$D$36:$AF$36)</f>
        <v>5.04</v>
      </c>
    </row>
    <row r="8" spans="2:9" ht="41.45" customHeight="1" x14ac:dyDescent="0.2">
      <c r="B8" s="44">
        <v>2</v>
      </c>
      <c r="C8" s="45" t="str">
        <f>'ЖЭУ 3'!E5</f>
        <v>Уборка и санитарно-гигиеническая очистка 
лестничных клеток</v>
      </c>
      <c r="D8" s="46" t="s">
        <v>90</v>
      </c>
      <c r="E8" s="47">
        <f ca="1">SUMIF('ЖЭУ 3'!$D$5:$AF$6,'Ленина 1'!$C8,'ЖЭУ 3'!$D$36:$AF$36)</f>
        <v>4.9800000000000004</v>
      </c>
    </row>
    <row r="9" spans="2:9" ht="41.45" customHeight="1" x14ac:dyDescent="0.2">
      <c r="B9" s="44">
        <v>3</v>
      </c>
      <c r="C9" s="45" t="str">
        <f>'ЖЭУ 3'!F5</f>
        <v>Уборка и санитарно-гигиеническая очистка земельного участка и контейнерных площадок</v>
      </c>
      <c r="D9" s="46" t="s">
        <v>90</v>
      </c>
      <c r="E9" s="47">
        <f ca="1">SUMIF('ЖЭУ 3'!$D$5:$AF$6,'Ленина 1'!$C9,'ЖЭУ 3'!$D$36:$AF$36)</f>
        <v>7.22</v>
      </c>
    </row>
    <row r="10" spans="2:9" ht="41.45" customHeight="1" x14ac:dyDescent="0.2">
      <c r="B10" s="44">
        <v>4</v>
      </c>
      <c r="C10" s="45" t="str">
        <f>'ЖЭУ 3'!G5</f>
        <v>Содержание и техническое обслуживание конструктивных элементов</v>
      </c>
      <c r="D10" s="46" t="s">
        <v>90</v>
      </c>
      <c r="E10" s="47">
        <f ca="1">SUMIF('ЖЭУ 3'!$D$5:$AF$6,'Ленина 1'!$C10,'ЖЭУ 3'!$D$36:$AF$36)</f>
        <v>3.12</v>
      </c>
    </row>
    <row r="11" spans="2:9" ht="41.45" customHeight="1" x14ac:dyDescent="0.2">
      <c r="B11" s="44">
        <v>5</v>
      </c>
      <c r="C11" s="45" t="str">
        <f>'ЖЭУ 3'!H5</f>
        <v>Содержание и техническое обслуживание внутридомовых систем холодного и горячего водоснабжения, отопления и канализации</v>
      </c>
      <c r="D11" s="46" t="s">
        <v>90</v>
      </c>
      <c r="E11" s="47">
        <f ca="1">SUMIF('ЖЭУ 3'!$D$5:$AF$6,'Ленина 1'!$C11,'ЖЭУ 3'!$D$36:$AF$36)</f>
        <v>3.28</v>
      </c>
    </row>
    <row r="12" spans="2:9" ht="41.45" customHeight="1" x14ac:dyDescent="0.2">
      <c r="B12" s="44">
        <v>6</v>
      </c>
      <c r="C12" s="45" t="str">
        <f>'ЖЭУ 3'!I5</f>
        <v>Содержание и техническое обслуживание внутридомовых систем электроснабжения</v>
      </c>
      <c r="D12" s="46" t="s">
        <v>90</v>
      </c>
      <c r="E12" s="47">
        <f ca="1">SUMIF('ЖЭУ 3'!$D$5:$AF$6,'Ленина 1'!$C12,'ЖЭУ 3'!$D$36:$AF$36)</f>
        <v>2.5099999999999998</v>
      </c>
    </row>
    <row r="13" spans="2:9" ht="41.45" customHeight="1" x14ac:dyDescent="0.2">
      <c r="B13" s="44">
        <v>7</v>
      </c>
      <c r="C13" s="45" t="str">
        <f>'ЖЭУ 3'!J5</f>
        <v>Текущий ремонт МКД</v>
      </c>
      <c r="D13" s="46" t="s">
        <v>90</v>
      </c>
      <c r="E13" s="47">
        <f ca="1">SUMIF('ЖЭУ 3'!$D$5:$AF$6,'Ленина 1'!$C13,'ЖЭУ 3'!$D$36:$AF$36)</f>
        <v>8.5149999999999988</v>
      </c>
    </row>
    <row r="14" spans="2:9" ht="41.45" customHeight="1" x14ac:dyDescent="0.2">
      <c r="B14" s="44">
        <v>8</v>
      </c>
      <c r="C14" s="45" t="str">
        <f>'ЖЭУ 3'!P5</f>
        <v>Дератизация, дезинсекция помещений</v>
      </c>
      <c r="D14" s="46" t="s">
        <v>90</v>
      </c>
      <c r="E14" s="47">
        <f ca="1">SUMIF('ЖЭУ 3'!$D$5:$AF$6,'Ленина 1'!$C14,'ЖЭУ 3'!$D$36:$AF$36)</f>
        <v>0.11</v>
      </c>
    </row>
    <row r="15" spans="2:9" ht="41.45" customHeight="1" x14ac:dyDescent="0.2">
      <c r="B15" s="44">
        <v>9</v>
      </c>
      <c r="C15" s="45" t="str">
        <f>'ЖЭУ 3'!Q5</f>
        <v>Благоустройство придомовой территории</v>
      </c>
      <c r="D15" s="46" t="s">
        <v>90</v>
      </c>
      <c r="E15" s="47">
        <f ca="1">SUMIF('ЖЭУ 3'!$D$5:$AF$6,'Ленина 1'!$C15,'ЖЭУ 3'!$D$36:$AF$36)</f>
        <v>0.37</v>
      </c>
    </row>
    <row r="16" spans="2:9" ht="41.45" customHeight="1" x14ac:dyDescent="0.2">
      <c r="B16" s="44">
        <v>10</v>
      </c>
      <c r="C16" s="45" t="str">
        <f>'ЖЭУ 3'!R5</f>
        <v>Сбор и вывоз твердых коммунальных отходов</v>
      </c>
      <c r="D16" s="46" t="s">
        <v>90</v>
      </c>
      <c r="E16" s="47">
        <f ca="1">SUMIF('ЖЭУ 3'!$D$5:$AF$6,'Ленина 1'!$C16,'ЖЭУ 3'!$D$36:$AF$36)</f>
        <v>1.27</v>
      </c>
    </row>
    <row r="17" spans="2:8" ht="41.45" customHeight="1" x14ac:dyDescent="0.2">
      <c r="B17" s="44">
        <v>11</v>
      </c>
      <c r="C17" s="45" t="str">
        <f>'ЖЭУ 3'!S5</f>
        <v>Механизированная уборка территорий от снега</v>
      </c>
      <c r="D17" s="46" t="s">
        <v>90</v>
      </c>
      <c r="E17" s="47">
        <f ca="1">SUMIF('ЖЭУ 3'!$D$5:$AF$6,'Ленина 1'!$C17,'ЖЭУ 3'!$D$36:$AF$36)</f>
        <v>1.1200000000000001</v>
      </c>
    </row>
    <row r="18" spans="2:8" ht="41.45" customHeight="1" x14ac:dyDescent="0.2">
      <c r="B18" s="44">
        <v>12</v>
      </c>
      <c r="C18" s="45" t="str">
        <f>'ЖЭУ 3'!T5</f>
        <v>Содержание, техническое обслуживание КОДПУ тепловой энергии на отопление</v>
      </c>
      <c r="D18" s="46" t="s">
        <v>90</v>
      </c>
      <c r="E18" s="47">
        <f ca="1">SUMIF('ЖЭУ 3'!$D$5:$AF$6,'Ленина 1'!$C18,'ЖЭУ 3'!$D$36:$AF$36)</f>
        <v>0.51</v>
      </c>
    </row>
    <row r="19" spans="2:8" ht="41.45" customHeight="1" x14ac:dyDescent="0.2">
      <c r="B19" s="44">
        <v>13</v>
      </c>
      <c r="C19" s="45" t="str">
        <f>'ЖЭУ 3'!U5</f>
        <v>Содержание, техническое обслуживание КОДПУ горячего водоснабжения</v>
      </c>
      <c r="D19" s="46" t="s">
        <v>90</v>
      </c>
      <c r="E19" s="47">
        <f ca="1">SUMIF('ЖЭУ 3'!$D$5:$AF$6,'Ленина 1'!$C19,'ЖЭУ 3'!$D$36:$AF$36)</f>
        <v>0</v>
      </c>
    </row>
    <row r="20" spans="2:8" ht="41.45" customHeight="1" x14ac:dyDescent="0.2">
      <c r="B20" s="44">
        <v>14</v>
      </c>
      <c r="C20" s="45" t="str">
        <f>'ЖЭУ 3'!V5</f>
        <v>Содержание, техническое обслуживание КОДПУ холодного водоснабжения</v>
      </c>
      <c r="D20" s="46" t="s">
        <v>90</v>
      </c>
      <c r="E20" s="47">
        <f ca="1">SUMIF('ЖЭУ 3'!$D$5:$AF$6,'Ленина 1'!$C20,'ЖЭУ 3'!$D$36:$AF$36)</f>
        <v>0</v>
      </c>
    </row>
    <row r="21" spans="2:8" ht="41.45" customHeight="1" x14ac:dyDescent="0.2">
      <c r="B21" s="44">
        <v>15</v>
      </c>
      <c r="C21" s="45" t="str">
        <f>'ЖЭУ 3'!W5</f>
        <v>Поверка, замена вышедшего из строя оборудования коллективног ОПУ тепловой энергии на отопление</v>
      </c>
      <c r="D21" s="46" t="s">
        <v>90</v>
      </c>
      <c r="E21" s="47">
        <f ca="1">SUMIF('ЖЭУ 3'!$D$5:$AF$6,'Ленина 1'!$C21,'ЖЭУ 3'!$D$36:$AF$36)</f>
        <v>0.35</v>
      </c>
    </row>
    <row r="22" spans="2:8" ht="41.45" customHeight="1" x14ac:dyDescent="0.2">
      <c r="B22" s="44">
        <v>16</v>
      </c>
      <c r="C22" s="45" t="str">
        <f>'ЖЭУ 3'!X5</f>
        <v>Поверка, замена вышедшего из строя оборудования коллективног ОПУ горячего водоснабжения</v>
      </c>
      <c r="D22" s="46" t="s">
        <v>90</v>
      </c>
      <c r="E22" s="47">
        <f ca="1">SUMIF('ЖЭУ 3'!$D$5:$AF$6,'Ленина 1'!$C22,'ЖЭУ 3'!$D$36:$AF$36)</f>
        <v>0</v>
      </c>
      <c r="G22" s="52">
        <f ca="1">SUM(E7:E25)</f>
        <v>38.584999999999994</v>
      </c>
      <c r="H22" s="52">
        <f ca="1">G22-'ЖЭУ 3'!AK36</f>
        <v>0</v>
      </c>
    </row>
    <row r="23" spans="2:8" ht="33" customHeight="1" x14ac:dyDescent="0.2">
      <c r="B23" s="44">
        <v>17</v>
      </c>
      <c r="C23" s="45" t="str">
        <f>'ЖЭУ 3'!Y5</f>
        <v>Поверка, замена вышедшего из строя оборудования коллективног ОПУ холодного водоснабжения</v>
      </c>
      <c r="D23" s="46" t="s">
        <v>90</v>
      </c>
      <c r="E23" s="47">
        <f ca="1">SUMIF('ЖЭУ 3'!$D$5:$AF$6,'Ленина 1'!$C23,'ЖЭУ 3'!$D$36:$AF$36)</f>
        <v>0</v>
      </c>
    </row>
    <row r="24" spans="2:8" ht="43.15" customHeight="1" x14ac:dyDescent="0.2">
      <c r="B24" s="44">
        <v>18</v>
      </c>
      <c r="C24" s="45" t="str">
        <f>'ЖЭУ 3'!Z5</f>
        <v>Поверка, замена вышедшего из строя оборудования коллективног ОПУ электрической энергии</v>
      </c>
      <c r="D24" s="46" t="s">
        <v>90</v>
      </c>
      <c r="E24" s="47">
        <f ca="1">SUMIF('ЖЭУ 3'!$D$5:$AF$6,'Ленина 1'!$C24,'ЖЭУ 3'!$D$36:$AF$36)</f>
        <v>0.19</v>
      </c>
    </row>
    <row r="25" spans="2:8" ht="31.9" customHeight="1" thickBot="1" x14ac:dyDescent="0.25">
      <c r="B25" s="48">
        <v>19</v>
      </c>
      <c r="C25" s="49" t="str">
        <f>'ЖЭУ 3'!AA5</f>
        <v>Техническое обслуживание систем аудидомофонной связи</v>
      </c>
      <c r="D25" s="50" t="s">
        <v>90</v>
      </c>
      <c r="E25" s="51">
        <f ca="1">SUMIF('ЖЭУ 3'!$D$5:$AF$6,'Ленина 1'!$C25,'ЖЭУ 3'!$D$36:$AF$36)</f>
        <v>0</v>
      </c>
    </row>
    <row r="26" spans="2:8" ht="11.45" customHeight="1" thickBot="1" x14ac:dyDescent="0.25">
      <c r="B26" s="116" t="s">
        <v>91</v>
      </c>
      <c r="C26" s="116"/>
    </row>
    <row r="27" spans="2:8" ht="25.15" customHeight="1" x14ac:dyDescent="0.2">
      <c r="B27" s="113" t="str">
        <f>CONCATENATE($I$5,$I$3)</f>
        <v>Расходы по коммунальным услугам, потребленным на содержание общего иммущества многоквартирного дома№ 21А ул. Мира</v>
      </c>
      <c r="C27" s="114"/>
      <c r="D27" s="114"/>
      <c r="E27" s="115"/>
    </row>
    <row r="28" spans="2:8" ht="25.15" customHeight="1" x14ac:dyDescent="0.2">
      <c r="B28" s="44">
        <v>1</v>
      </c>
      <c r="C28" s="45" t="str">
        <f>'ЖЭУ 3'!AB5</f>
        <v>Электрическая энергия, потребляемая при содержании общего имущества в МКД</v>
      </c>
      <c r="D28" s="46" t="s">
        <v>90</v>
      </c>
      <c r="E28" s="47">
        <f ca="1">SUMIF('ЖЭУ 3'!$D$5:$AF$6,'Ленина 1'!$C28,'ЖЭУ 3'!$D$36:$AF$36)</f>
        <v>1.0484311066564473</v>
      </c>
      <c r="G28" s="52"/>
    </row>
    <row r="29" spans="2:8" ht="25.15" customHeight="1" x14ac:dyDescent="0.2">
      <c r="B29" s="44">
        <v>2</v>
      </c>
      <c r="C29" s="45" t="str">
        <f>'ЖЭУ 3'!AC5</f>
        <v>Холодная вода, потребляемая при содержании общего имущества в МКД</v>
      </c>
      <c r="D29" s="46" t="s">
        <v>90</v>
      </c>
      <c r="E29" s="47">
        <f ca="1">SUMIF('ЖЭУ 3'!$D$5:$AF$6,'Ленина 1'!$C29,'ЖЭУ 3'!$D$36:$AF$36)</f>
        <v>0.16065695654737339</v>
      </c>
      <c r="G29" s="52">
        <f ca="1">SUM(E28:E32)</f>
        <v>2.0533320417428218</v>
      </c>
      <c r="H29" s="52">
        <f ca="1">G29-'ЖЭУ 3'!AJ36</f>
        <v>0</v>
      </c>
    </row>
    <row r="30" spans="2:8" ht="27.6" customHeight="1" x14ac:dyDescent="0.2">
      <c r="B30" s="44">
        <v>3</v>
      </c>
      <c r="C30" s="45" t="str">
        <f>'ЖЭУ 3'!AD5</f>
        <v>Холодная вода в составе горячей на содержание общего имущества МКД</v>
      </c>
      <c r="D30" s="46" t="s">
        <v>90</v>
      </c>
      <c r="E30" s="47">
        <f ca="1">SUMIF('ЖЭУ 3'!$D$5:$AF$6,'Ленина 1'!$C30,'ЖЭУ 3'!$D$36:$AF$36)</f>
        <v>0.53451371970992267</v>
      </c>
    </row>
    <row r="31" spans="2:8" ht="27.6" customHeight="1" x14ac:dyDescent="0.2">
      <c r="B31" s="44">
        <v>4</v>
      </c>
      <c r="C31" s="45" t="str">
        <f>'ЖЭУ 3'!AE5</f>
        <v>Горячая вода, потребляемая при содержании общего имущества в МКД</v>
      </c>
      <c r="D31" s="46" t="s">
        <v>90</v>
      </c>
      <c r="E31" s="47">
        <f ca="1">SUMIF('ЖЭУ 3'!$D$5:$AF$6,'Ленина 1'!$C31,'ЖЭУ 3'!$D$36:$AF$36)</f>
        <v>0</v>
      </c>
    </row>
    <row r="32" spans="2:8" ht="27.6" customHeight="1" thickBot="1" x14ac:dyDescent="0.25">
      <c r="B32" s="48">
        <v>5</v>
      </c>
      <c r="C32" s="49" t="str">
        <f>'ЖЭУ 3'!AF5</f>
        <v>Водоотведение при содержании общего имущества в МКД</v>
      </c>
      <c r="D32" s="50" t="s">
        <v>90</v>
      </c>
      <c r="E32" s="47">
        <f ca="1">SUMIF('ЖЭУ 3'!$D$5:$AF$6,'Ленина 1'!$C32,'ЖЭУ 3'!$D$36:$AF$36)</f>
        <v>0.3097302588290784</v>
      </c>
    </row>
    <row r="33" spans="2:8" ht="11.45" customHeight="1" x14ac:dyDescent="0.2">
      <c r="B33" s="53"/>
      <c r="C33" s="59"/>
      <c r="D33" s="55"/>
      <c r="E33" s="56"/>
    </row>
    <row r="34" spans="2:8" ht="21.6" customHeight="1" x14ac:dyDescent="0.2">
      <c r="B34" s="116" t="s">
        <v>92</v>
      </c>
      <c r="C34" s="116"/>
      <c r="D34" s="116"/>
      <c r="E34" s="116"/>
      <c r="G34" s="58"/>
    </row>
    <row r="35" spans="2:8" ht="15" customHeight="1" x14ac:dyDescent="0.2">
      <c r="B35" s="116"/>
      <c r="C35" s="116"/>
      <c r="D35" s="116"/>
      <c r="E35" s="116"/>
      <c r="H35" s="52"/>
    </row>
    <row r="36" spans="2:8" x14ac:dyDescent="0.2">
      <c r="B36" s="57"/>
      <c r="C36" s="59"/>
      <c r="D36" s="55"/>
      <c r="E36" s="56"/>
      <c r="G36" s="60"/>
      <c r="H36" s="61"/>
    </row>
    <row r="37" spans="2:8" x14ac:dyDescent="0.2">
      <c r="B37" s="117"/>
      <c r="C37" s="117"/>
      <c r="G37" s="60"/>
      <c r="H37" s="62"/>
    </row>
    <row r="38" spans="2:8" x14ac:dyDescent="0.2">
      <c r="B38" s="118" t="s">
        <v>93</v>
      </c>
      <c r="C38" s="118"/>
      <c r="E38" s="42" t="s">
        <v>94</v>
      </c>
      <c r="H38" s="63"/>
    </row>
  </sheetData>
  <mergeCells count="10">
    <mergeCell ref="B27:E27"/>
    <mergeCell ref="B34:E35"/>
    <mergeCell ref="B37:C37"/>
    <mergeCell ref="B38:C38"/>
    <mergeCell ref="B4:E4"/>
    <mergeCell ref="B5:B6"/>
    <mergeCell ref="C5:C6"/>
    <mergeCell ref="D5:D6"/>
    <mergeCell ref="E5:E6"/>
    <mergeCell ref="B26:C26"/>
  </mergeCells>
  <pageMargins left="0.7" right="0.7" top="0.75" bottom="0.75" header="0.3" footer="0.3"/>
  <pageSetup paperSize="9" scale="6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view="pageBreakPreview" topLeftCell="A21" zoomScale="75" zoomScaleNormal="100" zoomScaleSheetLayoutView="75" workbookViewId="0">
      <selection activeCell="J40" sqref="J40"/>
    </sheetView>
  </sheetViews>
  <sheetFormatPr defaultColWidth="8.85546875" defaultRowHeight="12.75" x14ac:dyDescent="0.2"/>
  <cols>
    <col min="1" max="1" width="3.42578125" style="41" customWidth="1"/>
    <col min="2" max="2" width="4.85546875" style="41" customWidth="1"/>
    <col min="3" max="3" width="43.7109375" style="41" customWidth="1"/>
    <col min="4" max="4" width="9" style="41" bestFit="1" customWidth="1"/>
    <col min="5" max="5" width="12.5703125" style="42" customWidth="1"/>
    <col min="6" max="16384" width="8.85546875" style="41"/>
  </cols>
  <sheetData>
    <row r="1" spans="2:9" x14ac:dyDescent="0.2">
      <c r="F1" s="43" t="s">
        <v>85</v>
      </c>
    </row>
    <row r="2" spans="2:9" x14ac:dyDescent="0.2">
      <c r="F2" s="43" t="s">
        <v>86</v>
      </c>
    </row>
    <row r="3" spans="2:9" ht="13.5" thickBot="1" x14ac:dyDescent="0.25">
      <c r="I3" s="41" t="s">
        <v>127</v>
      </c>
    </row>
    <row r="4" spans="2:9" ht="24" customHeight="1" x14ac:dyDescent="0.2">
      <c r="B4" s="119" t="str">
        <f>CONCATENATE($I$4,$I$3)</f>
        <v>Размер платы на содержание общего имущества многоквартирного дома№ 23 ул. Мира</v>
      </c>
      <c r="C4" s="120"/>
      <c r="D4" s="120"/>
      <c r="E4" s="121"/>
      <c r="I4" s="41" t="s">
        <v>96</v>
      </c>
    </row>
    <row r="5" spans="2:9" ht="13.9" customHeight="1" x14ac:dyDescent="0.2">
      <c r="B5" s="122" t="s">
        <v>1</v>
      </c>
      <c r="C5" s="123" t="s">
        <v>87</v>
      </c>
      <c r="D5" s="124" t="s">
        <v>88</v>
      </c>
      <c r="E5" s="125" t="s">
        <v>89</v>
      </c>
      <c r="I5" s="41" t="s">
        <v>97</v>
      </c>
    </row>
    <row r="6" spans="2:9" x14ac:dyDescent="0.2">
      <c r="B6" s="122"/>
      <c r="C6" s="123"/>
      <c r="D6" s="124"/>
      <c r="E6" s="125"/>
    </row>
    <row r="7" spans="2:9" ht="41.45" customHeight="1" x14ac:dyDescent="0.2">
      <c r="B7" s="44">
        <v>1</v>
      </c>
      <c r="C7" s="45" t="str">
        <f>'ЖЭУ 3'!D5</f>
        <v xml:space="preserve">Управление  многоквартирным домом   </v>
      </c>
      <c r="D7" s="46" t="s">
        <v>90</v>
      </c>
      <c r="E7" s="47">
        <f ca="1">SUMIF('ЖЭУ 3'!$D$5:$AF$6,'Ленина 1'!$C7,'ЖЭУ 3'!$D$37:$AF$37)</f>
        <v>5.04</v>
      </c>
    </row>
    <row r="8" spans="2:9" ht="41.45" customHeight="1" x14ac:dyDescent="0.2">
      <c r="B8" s="44">
        <v>2</v>
      </c>
      <c r="C8" s="45" t="str">
        <f>'ЖЭУ 3'!E5</f>
        <v>Уборка и санитарно-гигиеническая очистка 
лестничных клеток</v>
      </c>
      <c r="D8" s="46" t="s">
        <v>90</v>
      </c>
      <c r="E8" s="47">
        <f ca="1">SUMIF('ЖЭУ 3'!$D$5:$AF$6,'Ленина 1'!$C8,'ЖЭУ 3'!$D$37:$AF$37)</f>
        <v>5.87</v>
      </c>
    </row>
    <row r="9" spans="2:9" ht="41.45" customHeight="1" x14ac:dyDescent="0.2">
      <c r="B9" s="44">
        <v>3</v>
      </c>
      <c r="C9" s="45" t="str">
        <f>'ЖЭУ 3'!F5</f>
        <v>Уборка и санитарно-гигиеническая очистка земельного участка и контейнерных площадок</v>
      </c>
      <c r="D9" s="46" t="s">
        <v>90</v>
      </c>
      <c r="E9" s="47">
        <f ca="1">SUMIF('ЖЭУ 3'!$D$5:$AF$6,'Ленина 1'!$C9,'ЖЭУ 3'!$D$37:$AF$37)</f>
        <v>2.99</v>
      </c>
    </row>
    <row r="10" spans="2:9" ht="41.45" customHeight="1" x14ac:dyDescent="0.2">
      <c r="B10" s="44">
        <v>4</v>
      </c>
      <c r="C10" s="45" t="str">
        <f>'ЖЭУ 3'!G5</f>
        <v>Содержание и техническое обслуживание конструктивных элементов</v>
      </c>
      <c r="D10" s="46" t="s">
        <v>90</v>
      </c>
      <c r="E10" s="47">
        <f ca="1">SUMIF('ЖЭУ 3'!$D$5:$AF$6,'Ленина 1'!$C10,'ЖЭУ 3'!$D$37:$AF$37)</f>
        <v>3.11</v>
      </c>
    </row>
    <row r="11" spans="2:9" ht="41.45" customHeight="1" x14ac:dyDescent="0.2">
      <c r="B11" s="44">
        <v>5</v>
      </c>
      <c r="C11" s="45" t="str">
        <f>'ЖЭУ 3'!H5</f>
        <v>Содержание и техническое обслуживание внутридомовых систем холодного и горячего водоснабжения, отопления и канализации</v>
      </c>
      <c r="D11" s="46" t="s">
        <v>90</v>
      </c>
      <c r="E11" s="47">
        <f ca="1">SUMIF('ЖЭУ 3'!$D$5:$AF$6,'Ленина 1'!$C11,'ЖЭУ 3'!$D$37:$AF$37)</f>
        <v>3.36</v>
      </c>
    </row>
    <row r="12" spans="2:9" ht="41.45" customHeight="1" x14ac:dyDescent="0.2">
      <c r="B12" s="44">
        <v>6</v>
      </c>
      <c r="C12" s="45" t="str">
        <f>'ЖЭУ 3'!I5</f>
        <v>Содержание и техническое обслуживание внутридомовых систем электроснабжения</v>
      </c>
      <c r="D12" s="46" t="s">
        <v>90</v>
      </c>
      <c r="E12" s="47">
        <f ca="1">SUMIF('ЖЭУ 3'!$D$5:$AF$6,'Ленина 1'!$C12,'ЖЭУ 3'!$D$37:$AF$37)</f>
        <v>3.11</v>
      </c>
    </row>
    <row r="13" spans="2:9" ht="41.45" customHeight="1" x14ac:dyDescent="0.2">
      <c r="B13" s="44">
        <v>7</v>
      </c>
      <c r="C13" s="45" t="str">
        <f>'ЖЭУ 3'!J5</f>
        <v>Текущий ремонт МКД</v>
      </c>
      <c r="D13" s="46" t="s">
        <v>90</v>
      </c>
      <c r="E13" s="47">
        <f ca="1">SUMIF('ЖЭУ 3'!$D$5:$AF$6,'Ленина 1'!$C13,'ЖЭУ 3'!$D$37:$AF$37)</f>
        <v>11.664999999999999</v>
      </c>
    </row>
    <row r="14" spans="2:9" ht="41.45" customHeight="1" x14ac:dyDescent="0.2">
      <c r="B14" s="44">
        <v>8</v>
      </c>
      <c r="C14" s="45" t="str">
        <f>'ЖЭУ 3'!P5</f>
        <v>Дератизация, дезинсекция помещений</v>
      </c>
      <c r="D14" s="46" t="s">
        <v>90</v>
      </c>
      <c r="E14" s="47">
        <f ca="1">SUMIF('ЖЭУ 3'!$D$5:$AF$6,'Ленина 1'!$C14,'ЖЭУ 3'!$D$37:$AF$37)</f>
        <v>0.11</v>
      </c>
    </row>
    <row r="15" spans="2:9" ht="41.45" customHeight="1" x14ac:dyDescent="0.2">
      <c r="B15" s="44">
        <v>9</v>
      </c>
      <c r="C15" s="45" t="str">
        <f>'ЖЭУ 3'!Q5</f>
        <v>Благоустройство придомовой территории</v>
      </c>
      <c r="D15" s="46" t="s">
        <v>90</v>
      </c>
      <c r="E15" s="47">
        <f ca="1">SUMIF('ЖЭУ 3'!$D$5:$AF$6,'Ленина 1'!$C15,'ЖЭУ 3'!$D$37:$AF$37)</f>
        <v>0.37</v>
      </c>
    </row>
    <row r="16" spans="2:9" ht="41.45" customHeight="1" x14ac:dyDescent="0.2">
      <c r="B16" s="44">
        <v>10</v>
      </c>
      <c r="C16" s="45" t="str">
        <f>'ЖЭУ 3'!R5</f>
        <v>Сбор и вывоз твердых коммунальных отходов</v>
      </c>
      <c r="D16" s="46" t="s">
        <v>90</v>
      </c>
      <c r="E16" s="47">
        <f ca="1">SUMIF('ЖЭУ 3'!$D$5:$AF$6,'Ленина 1'!$C16,'ЖЭУ 3'!$D$37:$AF$37)</f>
        <v>1.06</v>
      </c>
    </row>
    <row r="17" spans="2:8" ht="41.45" customHeight="1" x14ac:dyDescent="0.2">
      <c r="B17" s="44">
        <v>11</v>
      </c>
      <c r="C17" s="45" t="str">
        <f>'ЖЭУ 3'!S5</f>
        <v>Механизированная уборка территорий от снега</v>
      </c>
      <c r="D17" s="46" t="s">
        <v>90</v>
      </c>
      <c r="E17" s="47">
        <f ca="1">SUMIF('ЖЭУ 3'!$D$5:$AF$6,'Ленина 1'!$C17,'ЖЭУ 3'!$D$37:$AF$37)</f>
        <v>0.56000000000000005</v>
      </c>
    </row>
    <row r="18" spans="2:8" ht="41.45" customHeight="1" x14ac:dyDescent="0.2">
      <c r="B18" s="44">
        <v>12</v>
      </c>
      <c r="C18" s="45" t="str">
        <f>'ЖЭУ 3'!T5</f>
        <v>Содержание, техническое обслуживание КОДПУ тепловой энергии на отопление</v>
      </c>
      <c r="D18" s="46" t="s">
        <v>90</v>
      </c>
      <c r="E18" s="47">
        <f ca="1">SUMIF('ЖЭУ 3'!$D$5:$AF$6,'Ленина 1'!$C18,'ЖЭУ 3'!$D$37:$AF$37)</f>
        <v>0.5</v>
      </c>
    </row>
    <row r="19" spans="2:8" ht="41.45" customHeight="1" x14ac:dyDescent="0.2">
      <c r="B19" s="44">
        <v>13</v>
      </c>
      <c r="C19" s="45" t="str">
        <f>'ЖЭУ 3'!U5</f>
        <v>Содержание, техническое обслуживание КОДПУ горячего водоснабжения</v>
      </c>
      <c r="D19" s="46" t="s">
        <v>90</v>
      </c>
      <c r="E19" s="47">
        <f ca="1">SUMIF('ЖЭУ 3'!$D$5:$AF$6,'Ленина 1'!$C19,'ЖЭУ 3'!$D$37:$AF$37)</f>
        <v>0</v>
      </c>
    </row>
    <row r="20" spans="2:8" ht="41.45" customHeight="1" x14ac:dyDescent="0.2">
      <c r="B20" s="44">
        <v>14</v>
      </c>
      <c r="C20" s="45" t="str">
        <f>'ЖЭУ 3'!V5</f>
        <v>Содержание, техническое обслуживание КОДПУ холодного водоснабжения</v>
      </c>
      <c r="D20" s="46" t="s">
        <v>90</v>
      </c>
      <c r="E20" s="47">
        <f ca="1">SUMIF('ЖЭУ 3'!$D$5:$AF$6,'Ленина 1'!$C20,'ЖЭУ 3'!$D$37:$AF$37)</f>
        <v>0.35</v>
      </c>
    </row>
    <row r="21" spans="2:8" ht="41.45" customHeight="1" x14ac:dyDescent="0.2">
      <c r="B21" s="44">
        <v>15</v>
      </c>
      <c r="C21" s="45" t="str">
        <f>'ЖЭУ 3'!W5</f>
        <v>Поверка, замена вышедшего из строя оборудования коллективног ОПУ тепловой энергии на отопление</v>
      </c>
      <c r="D21" s="46" t="s">
        <v>90</v>
      </c>
      <c r="E21" s="47">
        <f ca="1">SUMIF('ЖЭУ 3'!$D$5:$AF$6,'Ленина 1'!$C21,'ЖЭУ 3'!$D$37:$AF$37)</f>
        <v>0.34</v>
      </c>
    </row>
    <row r="22" spans="2:8" ht="41.45" customHeight="1" x14ac:dyDescent="0.2">
      <c r="B22" s="44">
        <v>16</v>
      </c>
      <c r="C22" s="45" t="str">
        <f>'ЖЭУ 3'!X5</f>
        <v>Поверка, замена вышедшего из строя оборудования коллективног ОПУ горячего водоснабжения</v>
      </c>
      <c r="D22" s="46" t="s">
        <v>90</v>
      </c>
      <c r="E22" s="47">
        <f ca="1">SUMIF('ЖЭУ 3'!$D$5:$AF$6,'Ленина 1'!$C22,'ЖЭУ 3'!$D$37:$AF$37)</f>
        <v>0</v>
      </c>
      <c r="G22" s="52">
        <f ca="1">SUM(E7:E25)</f>
        <v>38.945</v>
      </c>
      <c r="H22" s="52">
        <f ca="1">G22-'ЖЭУ 3'!AK37</f>
        <v>0</v>
      </c>
    </row>
    <row r="23" spans="2:8" ht="33" customHeight="1" x14ac:dyDescent="0.2">
      <c r="B23" s="44">
        <v>17</v>
      </c>
      <c r="C23" s="45" t="str">
        <f>'ЖЭУ 3'!Y5</f>
        <v>Поверка, замена вышедшего из строя оборудования коллективног ОПУ холодного водоснабжения</v>
      </c>
      <c r="D23" s="46" t="s">
        <v>90</v>
      </c>
      <c r="E23" s="47">
        <f ca="1">SUMIF('ЖЭУ 3'!$D$5:$AF$6,'Ленина 1'!$C23,'ЖЭУ 3'!$D$37:$AF$37)</f>
        <v>0.14000000000000001</v>
      </c>
    </row>
    <row r="24" spans="2:8" ht="43.15" customHeight="1" x14ac:dyDescent="0.2">
      <c r="B24" s="44">
        <v>18</v>
      </c>
      <c r="C24" s="45" t="str">
        <f>'ЖЭУ 3'!Z5</f>
        <v>Поверка, замена вышедшего из строя оборудования коллективног ОПУ электрической энергии</v>
      </c>
      <c r="D24" s="46" t="s">
        <v>90</v>
      </c>
      <c r="E24" s="47">
        <f ca="1">SUMIF('ЖЭУ 3'!$D$5:$AF$6,'Ленина 1'!$C24,'ЖЭУ 3'!$D$37:$AF$37)</f>
        <v>0.37</v>
      </c>
    </row>
    <row r="25" spans="2:8" ht="31.9" customHeight="1" thickBot="1" x14ac:dyDescent="0.25">
      <c r="B25" s="48">
        <v>19</v>
      </c>
      <c r="C25" s="49" t="str">
        <f>'ЖЭУ 3'!AA5</f>
        <v>Техническое обслуживание систем аудидомофонной связи</v>
      </c>
      <c r="D25" s="50" t="s">
        <v>90</v>
      </c>
      <c r="E25" s="51">
        <f ca="1">SUMIF('ЖЭУ 3'!$D$5:$AF$6,'Ленина 1'!$C25,'ЖЭУ 3'!$D$37:$AF$37)</f>
        <v>0</v>
      </c>
    </row>
    <row r="26" spans="2:8" ht="11.45" customHeight="1" thickBot="1" x14ac:dyDescent="0.25">
      <c r="B26" s="116" t="s">
        <v>91</v>
      </c>
      <c r="C26" s="116"/>
    </row>
    <row r="27" spans="2:8" ht="25.15" customHeight="1" x14ac:dyDescent="0.2">
      <c r="B27" s="113" t="str">
        <f>CONCATENATE($I$5,$I$3)</f>
        <v>Расходы по коммунальным услугам, потребленным на содержание общего иммущества многоквартирного дома№ 23 ул. Мира</v>
      </c>
      <c r="C27" s="114"/>
      <c r="D27" s="114"/>
      <c r="E27" s="115"/>
    </row>
    <row r="28" spans="2:8" ht="25.15" customHeight="1" x14ac:dyDescent="0.2">
      <c r="B28" s="44">
        <v>1</v>
      </c>
      <c r="C28" s="45" t="str">
        <f>'ЖЭУ 3'!AB5</f>
        <v>Электрическая энергия, потребляемая при содержании общего имущества в МКД</v>
      </c>
      <c r="D28" s="46" t="s">
        <v>90</v>
      </c>
      <c r="E28" s="47">
        <f ca="1">SUMIF('ЖЭУ 3'!$D$5:$AF$6,'Ленина 1'!$C28,'ЖЭУ 3'!$D$37:$AF$37)</f>
        <v>1.0281273722944977</v>
      </c>
      <c r="G28" s="52"/>
    </row>
    <row r="29" spans="2:8" ht="25.15" customHeight="1" x14ac:dyDescent="0.2">
      <c r="B29" s="44">
        <v>2</v>
      </c>
      <c r="C29" s="45" t="str">
        <f>'ЖЭУ 3'!AC5</f>
        <v>Холодная вода, потребляемая при содержании общего имущества в МКД</v>
      </c>
      <c r="D29" s="46" t="s">
        <v>90</v>
      </c>
      <c r="E29" s="47">
        <f ca="1">SUMIF('ЖЭУ 3'!$D$5:$AF$6,'Ленина 1'!$C29,'ЖЭУ 3'!$D$37:$AF$37)</f>
        <v>0.16233272332164686</v>
      </c>
      <c r="G29" s="52">
        <f ca="1">SUM(E28:E32)</f>
        <v>2.0435101416857413</v>
      </c>
      <c r="H29" s="52">
        <f ca="1">G29-'ЖЭУ 3'!AJ37</f>
        <v>0</v>
      </c>
    </row>
    <row r="30" spans="2:8" ht="27.6" customHeight="1" x14ac:dyDescent="0.2">
      <c r="B30" s="44">
        <v>3</v>
      </c>
      <c r="C30" s="45" t="str">
        <f>'ЖЭУ 3'!AD5</f>
        <v>Холодная вода в составе горячей на содержание общего имущества МКД</v>
      </c>
      <c r="D30" s="46" t="s">
        <v>90</v>
      </c>
      <c r="E30" s="47">
        <f ca="1">SUMIF('ЖЭУ 3'!$D$5:$AF$6,'Ленина 1'!$C30,'ЖЭУ 3'!$D$37:$AF$37)</f>
        <v>0.54008907947729823</v>
      </c>
    </row>
    <row r="31" spans="2:8" ht="27.6" customHeight="1" x14ac:dyDescent="0.2">
      <c r="B31" s="44">
        <v>4</v>
      </c>
      <c r="C31" s="45" t="str">
        <f>'ЖЭУ 3'!AE5</f>
        <v>Горячая вода, потребляемая при содержании общего имущества в МКД</v>
      </c>
      <c r="D31" s="46" t="s">
        <v>90</v>
      </c>
      <c r="E31" s="47">
        <f ca="1">SUMIF('ЖЭУ 3'!$D$5:$AF$6,'Ленина 1'!$C31,'ЖЭУ 3'!$D$37:$AF$37)</f>
        <v>0</v>
      </c>
    </row>
    <row r="32" spans="2:8" ht="27.6" customHeight="1" thickBot="1" x14ac:dyDescent="0.25">
      <c r="B32" s="48">
        <v>5</v>
      </c>
      <c r="C32" s="49" t="str">
        <f>'ЖЭУ 3'!AF5</f>
        <v>Водоотведение при содержании общего имущества в МКД</v>
      </c>
      <c r="D32" s="50" t="s">
        <v>90</v>
      </c>
      <c r="E32" s="47">
        <f ca="1">SUMIF('ЖЭУ 3'!$D$5:$AF$6,'Ленина 1'!$C32,'ЖЭУ 3'!$D$37:$AF$37)</f>
        <v>0.3129609665922985</v>
      </c>
    </row>
    <row r="33" spans="2:8" ht="11.45" customHeight="1" x14ac:dyDescent="0.2">
      <c r="B33" s="53"/>
      <c r="C33" s="59"/>
      <c r="D33" s="55"/>
      <c r="E33" s="56"/>
    </row>
    <row r="34" spans="2:8" ht="21.6" customHeight="1" x14ac:dyDescent="0.2">
      <c r="B34" s="116" t="s">
        <v>92</v>
      </c>
      <c r="C34" s="116"/>
      <c r="D34" s="116"/>
      <c r="E34" s="116"/>
      <c r="G34" s="58"/>
    </row>
    <row r="35" spans="2:8" ht="15" customHeight="1" x14ac:dyDescent="0.2">
      <c r="B35" s="116"/>
      <c r="C35" s="116"/>
      <c r="D35" s="116"/>
      <c r="E35" s="116"/>
      <c r="H35" s="52"/>
    </row>
    <row r="36" spans="2:8" x14ac:dyDescent="0.2">
      <c r="B36" s="57"/>
      <c r="C36" s="59"/>
      <c r="D36" s="55"/>
      <c r="E36" s="56"/>
      <c r="G36" s="60"/>
      <c r="H36" s="61"/>
    </row>
    <row r="37" spans="2:8" x14ac:dyDescent="0.2">
      <c r="B37" s="117"/>
      <c r="C37" s="117"/>
      <c r="G37" s="60"/>
      <c r="H37" s="62"/>
    </row>
    <row r="38" spans="2:8" x14ac:dyDescent="0.2">
      <c r="B38" s="118" t="s">
        <v>93</v>
      </c>
      <c r="C38" s="118"/>
      <c r="E38" s="42" t="s">
        <v>94</v>
      </c>
      <c r="H38" s="63"/>
    </row>
  </sheetData>
  <mergeCells count="10">
    <mergeCell ref="B27:E27"/>
    <mergeCell ref="B34:E35"/>
    <mergeCell ref="B37:C37"/>
    <mergeCell ref="B38:C38"/>
    <mergeCell ref="B4:E4"/>
    <mergeCell ref="B5:B6"/>
    <mergeCell ref="C5:C6"/>
    <mergeCell ref="D5:D6"/>
    <mergeCell ref="E5:E6"/>
    <mergeCell ref="B26:C26"/>
  </mergeCells>
  <pageMargins left="0.7" right="0.7" top="0.75" bottom="0.75" header="0.3" footer="0.3"/>
  <pageSetup paperSize="9" scale="6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view="pageBreakPreview" topLeftCell="A21" zoomScale="75" zoomScaleNormal="100" zoomScaleSheetLayoutView="75" workbookViewId="0">
      <selection activeCell="H30" sqref="H30"/>
    </sheetView>
  </sheetViews>
  <sheetFormatPr defaultColWidth="8.85546875" defaultRowHeight="12.75" x14ac:dyDescent="0.2"/>
  <cols>
    <col min="1" max="1" width="3.42578125" style="41" customWidth="1"/>
    <col min="2" max="2" width="4.85546875" style="41" customWidth="1"/>
    <col min="3" max="3" width="43.7109375" style="41" customWidth="1"/>
    <col min="4" max="4" width="9" style="41" bestFit="1" customWidth="1"/>
    <col min="5" max="5" width="12.5703125" style="42" customWidth="1"/>
    <col min="6" max="16384" width="8.85546875" style="41"/>
  </cols>
  <sheetData>
    <row r="1" spans="2:9" x14ac:dyDescent="0.2">
      <c r="F1" s="43" t="s">
        <v>85</v>
      </c>
    </row>
    <row r="2" spans="2:9" x14ac:dyDescent="0.2">
      <c r="F2" s="43" t="s">
        <v>86</v>
      </c>
    </row>
    <row r="3" spans="2:9" ht="13.5" thickBot="1" x14ac:dyDescent="0.25">
      <c r="I3" s="41" t="s">
        <v>128</v>
      </c>
    </row>
    <row r="4" spans="2:9" ht="24" customHeight="1" x14ac:dyDescent="0.2">
      <c r="B4" s="119" t="str">
        <f>CONCATENATE($I$4,$I$3)</f>
        <v>Размер платы на содержание общего имущества многоквартирного дома№ 25 ул. Мира</v>
      </c>
      <c r="C4" s="120"/>
      <c r="D4" s="120"/>
      <c r="E4" s="121"/>
      <c r="I4" s="41" t="s">
        <v>96</v>
      </c>
    </row>
    <row r="5" spans="2:9" ht="13.9" customHeight="1" x14ac:dyDescent="0.2">
      <c r="B5" s="122" t="s">
        <v>1</v>
      </c>
      <c r="C5" s="123" t="s">
        <v>87</v>
      </c>
      <c r="D5" s="124" t="s">
        <v>88</v>
      </c>
      <c r="E5" s="125" t="s">
        <v>89</v>
      </c>
      <c r="I5" s="41" t="s">
        <v>97</v>
      </c>
    </row>
    <row r="6" spans="2:9" x14ac:dyDescent="0.2">
      <c r="B6" s="122"/>
      <c r="C6" s="123"/>
      <c r="D6" s="124"/>
      <c r="E6" s="125"/>
    </row>
    <row r="7" spans="2:9" ht="41.45" customHeight="1" x14ac:dyDescent="0.2">
      <c r="B7" s="44">
        <v>1</v>
      </c>
      <c r="C7" s="45" t="str">
        <f>'ЖЭУ 3'!D5</f>
        <v xml:space="preserve">Управление  многоквартирным домом   </v>
      </c>
      <c r="D7" s="46" t="s">
        <v>90</v>
      </c>
      <c r="E7" s="47">
        <f ca="1">SUMIF('ЖЭУ 3'!$D$5:$AF$6,'Ленина 1'!$C7,'ЖЭУ 3'!$D$38:$AF$38)</f>
        <v>5.04</v>
      </c>
    </row>
    <row r="8" spans="2:9" ht="41.45" customHeight="1" x14ac:dyDescent="0.2">
      <c r="B8" s="44">
        <v>2</v>
      </c>
      <c r="C8" s="45" t="str">
        <f>'ЖЭУ 3'!E5</f>
        <v>Уборка и санитарно-гигиеническая очистка 
лестничных клеток</v>
      </c>
      <c r="D8" s="46" t="s">
        <v>90</v>
      </c>
      <c r="E8" s="47">
        <f ca="1">SUMIF('ЖЭУ 3'!$D$5:$AF$6,'Ленина 1'!$C8,'ЖЭУ 3'!$D$38:$AF$38)</f>
        <v>5.03</v>
      </c>
    </row>
    <row r="9" spans="2:9" ht="41.45" customHeight="1" x14ac:dyDescent="0.2">
      <c r="B9" s="44">
        <v>3</v>
      </c>
      <c r="C9" s="45" t="str">
        <f>'ЖЭУ 3'!F5</f>
        <v>Уборка и санитарно-гигиеническая очистка земельного участка и контейнерных площадок</v>
      </c>
      <c r="D9" s="46" t="s">
        <v>90</v>
      </c>
      <c r="E9" s="47">
        <f ca="1">SUMIF('ЖЭУ 3'!$D$5:$AF$6,'Ленина 1'!$C9,'ЖЭУ 3'!$D$38:$AF$38)</f>
        <v>7.78</v>
      </c>
    </row>
    <row r="10" spans="2:9" ht="41.45" customHeight="1" x14ac:dyDescent="0.2">
      <c r="B10" s="44">
        <v>4</v>
      </c>
      <c r="C10" s="45" t="str">
        <f>'ЖЭУ 3'!G5</f>
        <v>Содержание и техническое обслуживание конструктивных элементов</v>
      </c>
      <c r="D10" s="46" t="s">
        <v>90</v>
      </c>
      <c r="E10" s="47">
        <f ca="1">SUMIF('ЖЭУ 3'!$D$5:$AF$6,'Ленина 1'!$C10,'ЖЭУ 3'!$D$38:$AF$38)</f>
        <v>3.06</v>
      </c>
    </row>
    <row r="11" spans="2:9" ht="41.45" customHeight="1" x14ac:dyDescent="0.2">
      <c r="B11" s="44">
        <v>5</v>
      </c>
      <c r="C11" s="45" t="str">
        <f>'ЖЭУ 3'!H5</f>
        <v>Содержание и техническое обслуживание внутридомовых систем холодного и горячего водоснабжения, отопления и канализации</v>
      </c>
      <c r="D11" s="46" t="s">
        <v>90</v>
      </c>
      <c r="E11" s="47">
        <f ca="1">SUMIF('ЖЭУ 3'!$D$5:$AF$6,'Ленина 1'!$C11,'ЖЭУ 3'!$D$38:$AF$38)</f>
        <v>3.22</v>
      </c>
    </row>
    <row r="12" spans="2:9" ht="41.45" customHeight="1" x14ac:dyDescent="0.2">
      <c r="B12" s="44">
        <v>6</v>
      </c>
      <c r="C12" s="45" t="str">
        <f>'ЖЭУ 3'!I5</f>
        <v>Содержание и техническое обслуживание внутридомовых систем электроснабжения</v>
      </c>
      <c r="D12" s="46" t="s">
        <v>90</v>
      </c>
      <c r="E12" s="47">
        <f ca="1">SUMIF('ЖЭУ 3'!$D$5:$AF$6,'Ленина 1'!$C12,'ЖЭУ 3'!$D$38:$AF$38)</f>
        <v>2.4500000000000002</v>
      </c>
    </row>
    <row r="13" spans="2:9" ht="41.45" customHeight="1" x14ac:dyDescent="0.2">
      <c r="B13" s="44">
        <v>7</v>
      </c>
      <c r="C13" s="45" t="str">
        <f>'ЖЭУ 3'!J5</f>
        <v>Текущий ремонт МКД</v>
      </c>
      <c r="D13" s="46" t="s">
        <v>90</v>
      </c>
      <c r="E13" s="47">
        <f ca="1">SUMIF('ЖЭУ 3'!$D$5:$AF$6,'Ленина 1'!$C13,'ЖЭУ 3'!$D$38:$AF$38)</f>
        <v>8.2749999999999986</v>
      </c>
    </row>
    <row r="14" spans="2:9" ht="41.45" customHeight="1" x14ac:dyDescent="0.2">
      <c r="B14" s="44">
        <v>8</v>
      </c>
      <c r="C14" s="45" t="str">
        <f>'ЖЭУ 3'!P5</f>
        <v>Дератизация, дезинсекция помещений</v>
      </c>
      <c r="D14" s="46" t="s">
        <v>90</v>
      </c>
      <c r="E14" s="47">
        <f ca="1">SUMIF('ЖЭУ 3'!$D$5:$AF$6,'Ленина 1'!$C14,'ЖЭУ 3'!$D$38:$AF$38)</f>
        <v>0.11</v>
      </c>
    </row>
    <row r="15" spans="2:9" ht="41.45" customHeight="1" x14ac:dyDescent="0.2">
      <c r="B15" s="44">
        <v>9</v>
      </c>
      <c r="C15" s="45" t="str">
        <f>'ЖЭУ 3'!Q5</f>
        <v>Благоустройство придомовой территории</v>
      </c>
      <c r="D15" s="46" t="s">
        <v>90</v>
      </c>
      <c r="E15" s="47">
        <f ca="1">SUMIF('ЖЭУ 3'!$D$5:$AF$6,'Ленина 1'!$C15,'ЖЭУ 3'!$D$38:$AF$38)</f>
        <v>0.37</v>
      </c>
    </row>
    <row r="16" spans="2:9" ht="41.45" customHeight="1" x14ac:dyDescent="0.2">
      <c r="B16" s="44">
        <v>10</v>
      </c>
      <c r="C16" s="45" t="str">
        <f>'ЖЭУ 3'!R5</f>
        <v>Сбор и вывоз твердых коммунальных отходов</v>
      </c>
      <c r="D16" s="46" t="s">
        <v>90</v>
      </c>
      <c r="E16" s="47">
        <f ca="1">SUMIF('ЖЭУ 3'!$D$5:$AF$6,'Ленина 1'!$C16,'ЖЭУ 3'!$D$38:$AF$38)</f>
        <v>1.21</v>
      </c>
    </row>
    <row r="17" spans="2:8" ht="41.45" customHeight="1" x14ac:dyDescent="0.2">
      <c r="B17" s="44">
        <v>11</v>
      </c>
      <c r="C17" s="45" t="str">
        <f>'ЖЭУ 3'!S5</f>
        <v>Механизированная уборка территорий от снега</v>
      </c>
      <c r="D17" s="46" t="s">
        <v>90</v>
      </c>
      <c r="E17" s="47">
        <f ca="1">SUMIF('ЖЭУ 3'!$D$5:$AF$6,'Ленина 1'!$C17,'ЖЭУ 3'!$D$38:$AF$38)</f>
        <v>0.7</v>
      </c>
    </row>
    <row r="18" spans="2:8" ht="41.45" customHeight="1" x14ac:dyDescent="0.2">
      <c r="B18" s="44">
        <v>12</v>
      </c>
      <c r="C18" s="45" t="str">
        <f>'ЖЭУ 3'!T5</f>
        <v>Содержание, техническое обслуживание КОДПУ тепловой энергии на отопление</v>
      </c>
      <c r="D18" s="46" t="s">
        <v>90</v>
      </c>
      <c r="E18" s="47">
        <f ca="1">SUMIF('ЖЭУ 3'!$D$5:$AF$6,'Ленина 1'!$C18,'ЖЭУ 3'!$D$38:$AF$38)</f>
        <v>0.5</v>
      </c>
    </row>
    <row r="19" spans="2:8" ht="41.45" customHeight="1" x14ac:dyDescent="0.2">
      <c r="B19" s="44">
        <v>13</v>
      </c>
      <c r="C19" s="45" t="str">
        <f>'ЖЭУ 3'!U5</f>
        <v>Содержание, техническое обслуживание КОДПУ горячего водоснабжения</v>
      </c>
      <c r="D19" s="46" t="s">
        <v>90</v>
      </c>
      <c r="E19" s="47">
        <f ca="1">SUMIF('ЖЭУ 3'!$D$5:$AF$6,'Ленина 1'!$C19,'ЖЭУ 3'!$D$38:$AF$38)</f>
        <v>0</v>
      </c>
    </row>
    <row r="20" spans="2:8" ht="41.45" customHeight="1" x14ac:dyDescent="0.2">
      <c r="B20" s="44">
        <v>14</v>
      </c>
      <c r="C20" s="45" t="str">
        <f>'ЖЭУ 3'!V5</f>
        <v>Содержание, техническое обслуживание КОДПУ холодного водоснабжения</v>
      </c>
      <c r="D20" s="46" t="s">
        <v>90</v>
      </c>
      <c r="E20" s="47">
        <f ca="1">SUMIF('ЖЭУ 3'!$D$5:$AF$6,'Ленина 1'!$C20,'ЖЭУ 3'!$D$38:$AF$38)</f>
        <v>0.36</v>
      </c>
    </row>
    <row r="21" spans="2:8" ht="41.45" customHeight="1" x14ac:dyDescent="0.2">
      <c r="B21" s="44">
        <v>15</v>
      </c>
      <c r="C21" s="45" t="str">
        <f>'ЖЭУ 3'!W5</f>
        <v>Поверка, замена вышедшего из строя оборудования коллективног ОПУ тепловой энергии на отопление</v>
      </c>
      <c r="D21" s="46" t="s">
        <v>90</v>
      </c>
      <c r="E21" s="47">
        <f ca="1">SUMIF('ЖЭУ 3'!$D$5:$AF$6,'Ленина 1'!$C21,'ЖЭУ 3'!$D$38:$AF$38)</f>
        <v>0.34</v>
      </c>
    </row>
    <row r="22" spans="2:8" ht="41.45" customHeight="1" x14ac:dyDescent="0.2">
      <c r="B22" s="44">
        <v>16</v>
      </c>
      <c r="C22" s="45" t="str">
        <f>'ЖЭУ 3'!X5</f>
        <v>Поверка, замена вышедшего из строя оборудования коллективног ОПУ горячего водоснабжения</v>
      </c>
      <c r="D22" s="46" t="s">
        <v>90</v>
      </c>
      <c r="E22" s="47">
        <f ca="1">SUMIF('ЖЭУ 3'!$D$5:$AF$6,'Ленина 1'!$C22,'ЖЭУ 3'!$D$38:$AF$38)</f>
        <v>0</v>
      </c>
      <c r="G22" s="52">
        <f ca="1">SUM(E7:E25)</f>
        <v>38.954999999999998</v>
      </c>
      <c r="H22" s="52">
        <f ca="1">G22-'ЖЭУ 3'!AK38</f>
        <v>0</v>
      </c>
    </row>
    <row r="23" spans="2:8" ht="33" customHeight="1" x14ac:dyDescent="0.2">
      <c r="B23" s="44">
        <v>17</v>
      </c>
      <c r="C23" s="45" t="str">
        <f>'ЖЭУ 3'!Y5</f>
        <v>Поверка, замена вышедшего из строя оборудования коллективног ОПУ холодного водоснабжения</v>
      </c>
      <c r="D23" s="46" t="s">
        <v>90</v>
      </c>
      <c r="E23" s="47">
        <f ca="1">SUMIF('ЖЭУ 3'!$D$5:$AF$6,'Ленина 1'!$C23,'ЖЭУ 3'!$D$38:$AF$38)</f>
        <v>0.14000000000000001</v>
      </c>
    </row>
    <row r="24" spans="2:8" ht="43.15" customHeight="1" x14ac:dyDescent="0.2">
      <c r="B24" s="44">
        <v>18</v>
      </c>
      <c r="C24" s="45" t="str">
        <f>'ЖЭУ 3'!Z5</f>
        <v>Поверка, замена вышедшего из строя оборудования коллективног ОПУ электрической энергии</v>
      </c>
      <c r="D24" s="46" t="s">
        <v>90</v>
      </c>
      <c r="E24" s="47">
        <f ca="1">SUMIF('ЖЭУ 3'!$D$5:$AF$6,'Ленина 1'!$C24,'ЖЭУ 3'!$D$38:$AF$38)</f>
        <v>0.37</v>
      </c>
    </row>
    <row r="25" spans="2:8" ht="31.9" customHeight="1" thickBot="1" x14ac:dyDescent="0.25">
      <c r="B25" s="48">
        <v>19</v>
      </c>
      <c r="C25" s="49" t="str">
        <f>'ЖЭУ 3'!AA5</f>
        <v>Техническое обслуживание систем аудидомофонной связи</v>
      </c>
      <c r="D25" s="50" t="s">
        <v>90</v>
      </c>
      <c r="E25" s="51">
        <f ca="1">SUMIF('ЖЭУ 3'!$D$5:$AF$6,'Ленина 1'!$C25,'ЖЭУ 3'!$D$38:$AF$38)</f>
        <v>0</v>
      </c>
    </row>
    <row r="26" spans="2:8" ht="11.45" customHeight="1" thickBot="1" x14ac:dyDescent="0.25">
      <c r="B26" s="116" t="s">
        <v>91</v>
      </c>
      <c r="C26" s="116"/>
    </row>
    <row r="27" spans="2:8" ht="25.15" customHeight="1" x14ac:dyDescent="0.2">
      <c r="B27" s="113" t="str">
        <f>CONCATENATE($I$5,$I$3)</f>
        <v>Расходы по коммунальным услугам, потребленным на содержание общего иммущества многоквартирного дома№ 25 ул. Мира</v>
      </c>
      <c r="C27" s="114"/>
      <c r="D27" s="114"/>
      <c r="E27" s="115"/>
    </row>
    <row r="28" spans="2:8" ht="25.15" customHeight="1" x14ac:dyDescent="0.2">
      <c r="B28" s="44">
        <v>1</v>
      </c>
      <c r="C28" s="45" t="str">
        <f>'ЖЭУ 3'!AB5</f>
        <v>Электрическая энергия, потребляемая при содержании общего имущества в МКД</v>
      </c>
      <c r="D28" s="46" t="s">
        <v>90</v>
      </c>
      <c r="E28" s="47">
        <f ca="1">SUMIF('ЖЭУ 3'!$D$5:$AF$6,'Ленина 1'!$C28,'ЖЭУ 3'!$D$38:$AF$38)</f>
        <v>1.0309888799242293</v>
      </c>
      <c r="G28" s="52"/>
    </row>
    <row r="29" spans="2:8" ht="25.15" customHeight="1" x14ac:dyDescent="0.2">
      <c r="B29" s="44">
        <v>2</v>
      </c>
      <c r="C29" s="45" t="str">
        <f>'ЖЭУ 3'!AC5</f>
        <v>Холодная вода, потребляемая при содержании общего имущества в МКД</v>
      </c>
      <c r="D29" s="46" t="s">
        <v>90</v>
      </c>
      <c r="E29" s="47">
        <f ca="1">SUMIF('ЖЭУ 3'!$D$5:$AF$6,'Ленина 1'!$C29,'ЖЭУ 3'!$D$38:$AF$38)</f>
        <v>0.16873573508261128</v>
      </c>
      <c r="G29" s="52">
        <f ca="1">SUM(E28:E32)</f>
        <v>2.0864221559616936</v>
      </c>
      <c r="H29" s="52">
        <f ca="1">G29-'ЖЭУ 3'!AJ38</f>
        <v>0</v>
      </c>
    </row>
    <row r="30" spans="2:8" ht="27.6" customHeight="1" x14ac:dyDescent="0.2">
      <c r="B30" s="44">
        <v>3</v>
      </c>
      <c r="C30" s="45" t="str">
        <f>'ЖЭУ 3'!AD5</f>
        <v>Холодная вода в составе горячей на содержание общего имущества МКД</v>
      </c>
      <c r="D30" s="46" t="s">
        <v>90</v>
      </c>
      <c r="E30" s="47">
        <f ca="1">SUMIF('ЖЭУ 3'!$D$5:$AF$6,'Ленина 1'!$C30,'ЖЭУ 3'!$D$38:$AF$38)</f>
        <v>0.56139221945487072</v>
      </c>
    </row>
    <row r="31" spans="2:8" ht="27.6" customHeight="1" x14ac:dyDescent="0.2">
      <c r="B31" s="44">
        <v>4</v>
      </c>
      <c r="C31" s="45" t="str">
        <f>'ЖЭУ 3'!AE5</f>
        <v>Горячая вода, потребляемая при содержании общего имущества в МКД</v>
      </c>
      <c r="D31" s="46" t="s">
        <v>90</v>
      </c>
      <c r="E31" s="47">
        <f ca="1">SUMIF('ЖЭУ 3'!$D$5:$AF$6,'Ленина 1'!$C31,'ЖЭУ 3'!$D$38:$AF$38)</f>
        <v>0</v>
      </c>
    </row>
    <row r="32" spans="2:8" ht="27.6" customHeight="1" thickBot="1" x14ac:dyDescent="0.25">
      <c r="B32" s="48">
        <v>5</v>
      </c>
      <c r="C32" s="49" t="str">
        <f>'ЖЭУ 3'!AF5</f>
        <v>Водоотведение при содержании общего имущества в МКД</v>
      </c>
      <c r="D32" s="50" t="s">
        <v>90</v>
      </c>
      <c r="E32" s="47">
        <f ca="1">SUMIF('ЖЭУ 3'!$D$5:$AF$6,'Ленина 1'!$C32,'ЖЭУ 3'!$D$38:$AF$38)</f>
        <v>0.32530532149998237</v>
      </c>
    </row>
    <row r="33" spans="2:8" ht="11.45" customHeight="1" x14ac:dyDescent="0.2">
      <c r="B33" s="53"/>
      <c r="C33" s="59"/>
      <c r="D33" s="55"/>
      <c r="E33" s="56"/>
    </row>
    <row r="34" spans="2:8" ht="21.6" customHeight="1" x14ac:dyDescent="0.2">
      <c r="B34" s="116" t="s">
        <v>92</v>
      </c>
      <c r="C34" s="116"/>
      <c r="D34" s="116"/>
      <c r="E34" s="116"/>
      <c r="G34" s="58"/>
    </row>
    <row r="35" spans="2:8" ht="15" customHeight="1" x14ac:dyDescent="0.2">
      <c r="B35" s="116"/>
      <c r="C35" s="116"/>
      <c r="D35" s="116"/>
      <c r="E35" s="116"/>
      <c r="H35" s="52"/>
    </row>
    <row r="36" spans="2:8" x14ac:dyDescent="0.2">
      <c r="B36" s="57"/>
      <c r="C36" s="59"/>
      <c r="D36" s="55"/>
      <c r="E36" s="56"/>
      <c r="G36" s="60"/>
      <c r="H36" s="61"/>
    </row>
    <row r="37" spans="2:8" x14ac:dyDescent="0.2">
      <c r="B37" s="117"/>
      <c r="C37" s="117"/>
      <c r="G37" s="60"/>
      <c r="H37" s="62"/>
    </row>
    <row r="38" spans="2:8" x14ac:dyDescent="0.2">
      <c r="B38" s="118" t="s">
        <v>93</v>
      </c>
      <c r="C38" s="118"/>
      <c r="E38" s="42" t="s">
        <v>94</v>
      </c>
      <c r="H38" s="63"/>
    </row>
  </sheetData>
  <mergeCells count="10">
    <mergeCell ref="B27:E27"/>
    <mergeCell ref="B34:E35"/>
    <mergeCell ref="B37:C37"/>
    <mergeCell ref="B38:C38"/>
    <mergeCell ref="B4:E4"/>
    <mergeCell ref="B5:B6"/>
    <mergeCell ref="C5:C6"/>
    <mergeCell ref="D5:D6"/>
    <mergeCell ref="E5:E6"/>
    <mergeCell ref="B26:C26"/>
  </mergeCells>
  <pageMargins left="0.7" right="0.7" top="0.75" bottom="0.75" header="0.3" footer="0.3"/>
  <pageSetup paperSize="9" scale="6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view="pageBreakPreview" topLeftCell="A21" zoomScale="75" zoomScaleNormal="100" zoomScaleSheetLayoutView="75" workbookViewId="0">
      <selection activeCell="H30" sqref="H30"/>
    </sheetView>
  </sheetViews>
  <sheetFormatPr defaultColWidth="8.85546875" defaultRowHeight="12.75" x14ac:dyDescent="0.2"/>
  <cols>
    <col min="1" max="1" width="3.42578125" style="41" customWidth="1"/>
    <col min="2" max="2" width="4.85546875" style="41" customWidth="1"/>
    <col min="3" max="3" width="43.7109375" style="41" customWidth="1"/>
    <col min="4" max="4" width="9" style="41" bestFit="1" customWidth="1"/>
    <col min="5" max="5" width="12.5703125" style="42" customWidth="1"/>
    <col min="6" max="16384" width="8.85546875" style="41"/>
  </cols>
  <sheetData>
    <row r="1" spans="2:9" x14ac:dyDescent="0.2">
      <c r="F1" s="43" t="s">
        <v>85</v>
      </c>
    </row>
    <row r="2" spans="2:9" x14ac:dyDescent="0.2">
      <c r="F2" s="43" t="s">
        <v>86</v>
      </c>
    </row>
    <row r="3" spans="2:9" ht="13.5" thickBot="1" x14ac:dyDescent="0.25">
      <c r="I3" s="41" t="s">
        <v>129</v>
      </c>
    </row>
    <row r="4" spans="2:9" ht="24" customHeight="1" x14ac:dyDescent="0.2">
      <c r="B4" s="119" t="str">
        <f>CONCATENATE($I$4,$I$3)</f>
        <v>Размер платы на содержание общего имущества многоквартирного дома№ 21 ул. Мира (вставка)</v>
      </c>
      <c r="C4" s="120"/>
      <c r="D4" s="120"/>
      <c r="E4" s="121"/>
      <c r="I4" s="41" t="s">
        <v>96</v>
      </c>
    </row>
    <row r="5" spans="2:9" ht="13.9" customHeight="1" x14ac:dyDescent="0.2">
      <c r="B5" s="122" t="s">
        <v>1</v>
      </c>
      <c r="C5" s="123" t="s">
        <v>87</v>
      </c>
      <c r="D5" s="124" t="s">
        <v>88</v>
      </c>
      <c r="E5" s="125" t="s">
        <v>89</v>
      </c>
      <c r="I5" s="41" t="s">
        <v>97</v>
      </c>
    </row>
    <row r="6" spans="2:9" x14ac:dyDescent="0.2">
      <c r="B6" s="122"/>
      <c r="C6" s="123"/>
      <c r="D6" s="124"/>
      <c r="E6" s="125"/>
    </row>
    <row r="7" spans="2:9" ht="41.45" customHeight="1" x14ac:dyDescent="0.2">
      <c r="B7" s="44">
        <v>1</v>
      </c>
      <c r="C7" s="45" t="str">
        <f>'ЖЭУ 3'!D5</f>
        <v xml:space="preserve">Управление  многоквартирным домом   </v>
      </c>
      <c r="D7" s="46" t="s">
        <v>90</v>
      </c>
      <c r="E7" s="47">
        <f ca="1">SUMIF('ЖЭУ 3'!$D$5:$AF$6,'Ленина 1'!$C7,'ЖЭУ 3'!$D$39:$AF$39)</f>
        <v>5.04</v>
      </c>
    </row>
    <row r="8" spans="2:9" ht="41.45" customHeight="1" x14ac:dyDescent="0.2">
      <c r="B8" s="44">
        <v>2</v>
      </c>
      <c r="C8" s="45" t="str">
        <f>'ЖЭУ 3'!E5</f>
        <v>Уборка и санитарно-гигиеническая очистка 
лестничных клеток</v>
      </c>
      <c r="D8" s="46" t="s">
        <v>90</v>
      </c>
      <c r="E8" s="47">
        <f ca="1">SUMIF('ЖЭУ 3'!$D$5:$AF$6,'Ленина 1'!$C8,'ЖЭУ 3'!$D$39:$AF$39)</f>
        <v>5.29</v>
      </c>
    </row>
    <row r="9" spans="2:9" ht="41.45" customHeight="1" x14ac:dyDescent="0.2">
      <c r="B9" s="44">
        <v>3</v>
      </c>
      <c r="C9" s="45" t="str">
        <f>'ЖЭУ 3'!F5</f>
        <v>Уборка и санитарно-гигиеническая очистка земельного участка и контейнерных площадок</v>
      </c>
      <c r="D9" s="46" t="s">
        <v>90</v>
      </c>
      <c r="E9" s="47">
        <f ca="1">SUMIF('ЖЭУ 3'!$D$5:$AF$6,'Ленина 1'!$C9,'ЖЭУ 3'!$D$39:$AF$39)</f>
        <v>2.38</v>
      </c>
    </row>
    <row r="10" spans="2:9" ht="41.45" customHeight="1" x14ac:dyDescent="0.2">
      <c r="B10" s="44">
        <v>4</v>
      </c>
      <c r="C10" s="45" t="str">
        <f>'ЖЭУ 3'!G5</f>
        <v>Содержание и техническое обслуживание конструктивных элементов</v>
      </c>
      <c r="D10" s="46" t="s">
        <v>90</v>
      </c>
      <c r="E10" s="47">
        <f ca="1">SUMIF('ЖЭУ 3'!$D$5:$AF$6,'Ленина 1'!$C10,'ЖЭУ 3'!$D$39:$AF$39)</f>
        <v>3.04</v>
      </c>
    </row>
    <row r="11" spans="2:9" ht="41.45" customHeight="1" x14ac:dyDescent="0.2">
      <c r="B11" s="44">
        <v>5</v>
      </c>
      <c r="C11" s="45" t="str">
        <f>'ЖЭУ 3'!H5</f>
        <v>Содержание и техническое обслуживание внутридомовых систем холодного и горячего водоснабжения, отопления и канализации</v>
      </c>
      <c r="D11" s="46" t="s">
        <v>90</v>
      </c>
      <c r="E11" s="47">
        <f ca="1">SUMIF('ЖЭУ 3'!$D$5:$AF$6,'Ленина 1'!$C11,'ЖЭУ 3'!$D$39:$AF$39)</f>
        <v>3.31</v>
      </c>
    </row>
    <row r="12" spans="2:9" ht="41.45" customHeight="1" x14ac:dyDescent="0.2">
      <c r="B12" s="44">
        <v>6</v>
      </c>
      <c r="C12" s="45" t="str">
        <f>'ЖЭУ 3'!I5</f>
        <v>Содержание и техническое обслуживание внутридомовых систем электроснабжения</v>
      </c>
      <c r="D12" s="46" t="s">
        <v>90</v>
      </c>
      <c r="E12" s="47">
        <f ca="1">SUMIF('ЖЭУ 3'!$D$5:$AF$6,'Ленина 1'!$C12,'ЖЭУ 3'!$D$39:$AF$39)</f>
        <v>3</v>
      </c>
    </row>
    <row r="13" spans="2:9" ht="41.45" customHeight="1" x14ac:dyDescent="0.2">
      <c r="B13" s="44">
        <v>7</v>
      </c>
      <c r="C13" s="45" t="str">
        <f>'ЖЭУ 3'!J5</f>
        <v>Текущий ремонт МКД</v>
      </c>
      <c r="D13" s="46" t="s">
        <v>90</v>
      </c>
      <c r="E13" s="47">
        <f ca="1">SUMIF('ЖЭУ 3'!$D$5:$AF$6,'Ленина 1'!$C13,'ЖЭУ 3'!$D$39:$AF$39)</f>
        <v>13.459999999999999</v>
      </c>
    </row>
    <row r="14" spans="2:9" ht="41.45" customHeight="1" x14ac:dyDescent="0.2">
      <c r="B14" s="44">
        <v>8</v>
      </c>
      <c r="C14" s="45" t="str">
        <f>'ЖЭУ 3'!P5</f>
        <v>Дератизация, дезинсекция помещений</v>
      </c>
      <c r="D14" s="46" t="s">
        <v>90</v>
      </c>
      <c r="E14" s="47">
        <f ca="1">SUMIF('ЖЭУ 3'!$D$5:$AF$6,'Ленина 1'!$C14,'ЖЭУ 3'!$D$39:$AF$39)</f>
        <v>0.11</v>
      </c>
    </row>
    <row r="15" spans="2:9" ht="41.45" customHeight="1" x14ac:dyDescent="0.2">
      <c r="B15" s="44">
        <v>9</v>
      </c>
      <c r="C15" s="45" t="str">
        <f>'ЖЭУ 3'!Q5</f>
        <v>Благоустройство придомовой территории</v>
      </c>
      <c r="D15" s="46" t="s">
        <v>90</v>
      </c>
      <c r="E15" s="47">
        <f ca="1">SUMIF('ЖЭУ 3'!$D$5:$AF$6,'Ленина 1'!$C15,'ЖЭУ 3'!$D$39:$AF$39)</f>
        <v>0.37</v>
      </c>
    </row>
    <row r="16" spans="2:9" ht="41.45" customHeight="1" x14ac:dyDescent="0.2">
      <c r="B16" s="44">
        <v>10</v>
      </c>
      <c r="C16" s="45" t="str">
        <f>'ЖЭУ 3'!R5</f>
        <v>Сбор и вывоз твердых коммунальных отходов</v>
      </c>
      <c r="D16" s="46" t="s">
        <v>90</v>
      </c>
      <c r="E16" s="47">
        <f ca="1">SUMIF('ЖЭУ 3'!$D$5:$AF$6,'Ленина 1'!$C16,'ЖЭУ 3'!$D$39:$AF$39)</f>
        <v>0.76</v>
      </c>
    </row>
    <row r="17" spans="2:8" ht="41.45" customHeight="1" x14ac:dyDescent="0.2">
      <c r="B17" s="44">
        <v>11</v>
      </c>
      <c r="C17" s="45" t="str">
        <f>'ЖЭУ 3'!S5</f>
        <v>Механизированная уборка территорий от снега</v>
      </c>
      <c r="D17" s="46" t="s">
        <v>90</v>
      </c>
      <c r="E17" s="47">
        <f ca="1">SUMIF('ЖЭУ 3'!$D$5:$AF$6,'Ленина 1'!$C17,'ЖЭУ 3'!$D$39:$AF$39)</f>
        <v>0.48</v>
      </c>
    </row>
    <row r="18" spans="2:8" ht="41.45" customHeight="1" x14ac:dyDescent="0.2">
      <c r="B18" s="44">
        <v>12</v>
      </c>
      <c r="C18" s="45" t="str">
        <f>'ЖЭУ 3'!T5</f>
        <v>Содержание, техническое обслуживание КОДПУ тепловой энергии на отопление</v>
      </c>
      <c r="D18" s="46" t="s">
        <v>90</v>
      </c>
      <c r="E18" s="47">
        <f ca="1">SUMIF('ЖЭУ 3'!$D$5:$AF$6,'Ленина 1'!$C18,'ЖЭУ 3'!$D$39:$AF$39)</f>
        <v>0</v>
      </c>
    </row>
    <row r="19" spans="2:8" ht="41.45" customHeight="1" x14ac:dyDescent="0.2">
      <c r="B19" s="44">
        <v>13</v>
      </c>
      <c r="C19" s="45" t="str">
        <f>'ЖЭУ 3'!U5</f>
        <v>Содержание, техническое обслуживание КОДПУ горячего водоснабжения</v>
      </c>
      <c r="D19" s="46" t="s">
        <v>90</v>
      </c>
      <c r="E19" s="47">
        <f ca="1">SUMIF('ЖЭУ 3'!$D$5:$AF$6,'Ленина 1'!$C19,'ЖЭУ 3'!$D$39:$AF$39)</f>
        <v>0</v>
      </c>
    </row>
    <row r="20" spans="2:8" ht="41.45" customHeight="1" x14ac:dyDescent="0.2">
      <c r="B20" s="44">
        <v>14</v>
      </c>
      <c r="C20" s="45" t="str">
        <f>'ЖЭУ 3'!V5</f>
        <v>Содержание, техническое обслуживание КОДПУ холодного водоснабжения</v>
      </c>
      <c r="D20" s="46" t="s">
        <v>90</v>
      </c>
      <c r="E20" s="47">
        <f ca="1">SUMIF('ЖЭУ 3'!$D$5:$AF$6,'Ленина 1'!$C20,'ЖЭУ 3'!$D$39:$AF$39)</f>
        <v>0</v>
      </c>
    </row>
    <row r="21" spans="2:8" ht="41.45" customHeight="1" x14ac:dyDescent="0.2">
      <c r="B21" s="44">
        <v>15</v>
      </c>
      <c r="C21" s="45" t="str">
        <f>'ЖЭУ 3'!W5</f>
        <v>Поверка, замена вышедшего из строя оборудования коллективног ОПУ тепловой энергии на отопление</v>
      </c>
      <c r="D21" s="46" t="s">
        <v>90</v>
      </c>
      <c r="E21" s="47">
        <f ca="1">SUMIF('ЖЭУ 3'!$D$5:$AF$6,'Ленина 1'!$C21,'ЖЭУ 3'!$D$39:$AF$39)</f>
        <v>0</v>
      </c>
    </row>
    <row r="22" spans="2:8" ht="41.45" customHeight="1" x14ac:dyDescent="0.2">
      <c r="B22" s="44">
        <v>16</v>
      </c>
      <c r="C22" s="45" t="str">
        <f>'ЖЭУ 3'!X5</f>
        <v>Поверка, замена вышедшего из строя оборудования коллективног ОПУ горячего водоснабжения</v>
      </c>
      <c r="D22" s="46" t="s">
        <v>90</v>
      </c>
      <c r="E22" s="47">
        <f ca="1">SUMIF('ЖЭУ 3'!$D$5:$AF$6,'Ленина 1'!$C22,'ЖЭУ 3'!$D$39:$AF$39)</f>
        <v>0</v>
      </c>
      <c r="G22" s="52">
        <f ca="1">SUM(E7:E25)</f>
        <v>37.919999999999987</v>
      </c>
      <c r="H22" s="52">
        <f ca="1">G22-'ЖЭУ 3'!AK39</f>
        <v>0</v>
      </c>
    </row>
    <row r="23" spans="2:8" ht="33" customHeight="1" x14ac:dyDescent="0.2">
      <c r="B23" s="44">
        <v>17</v>
      </c>
      <c r="C23" s="45" t="str">
        <f>'ЖЭУ 3'!Y5</f>
        <v>Поверка, замена вышедшего из строя оборудования коллективног ОПУ холодного водоснабжения</v>
      </c>
      <c r="D23" s="46" t="s">
        <v>90</v>
      </c>
      <c r="E23" s="47">
        <f ca="1">SUMIF('ЖЭУ 3'!$D$5:$AF$6,'Ленина 1'!$C23,'ЖЭУ 3'!$D$39:$AF$39)</f>
        <v>0</v>
      </c>
    </row>
    <row r="24" spans="2:8" ht="43.15" customHeight="1" x14ac:dyDescent="0.2">
      <c r="B24" s="44">
        <v>18</v>
      </c>
      <c r="C24" s="45" t="str">
        <f>'ЖЭУ 3'!Z5</f>
        <v>Поверка, замена вышедшего из строя оборудования коллективног ОПУ электрической энергии</v>
      </c>
      <c r="D24" s="46" t="s">
        <v>90</v>
      </c>
      <c r="E24" s="47">
        <f ca="1">SUMIF('ЖЭУ 3'!$D$5:$AF$6,'Ленина 1'!$C24,'ЖЭУ 3'!$D$39:$AF$39)</f>
        <v>0.68</v>
      </c>
    </row>
    <row r="25" spans="2:8" ht="31.9" customHeight="1" thickBot="1" x14ac:dyDescent="0.25">
      <c r="B25" s="48">
        <v>19</v>
      </c>
      <c r="C25" s="49" t="str">
        <f>'ЖЭУ 3'!AA5</f>
        <v>Техническое обслуживание систем аудидомофонной связи</v>
      </c>
      <c r="D25" s="50" t="s">
        <v>90</v>
      </c>
      <c r="E25" s="51">
        <f ca="1">SUMIF('ЖЭУ 3'!$D$5:$AF$6,'Ленина 1'!$C25,'ЖЭУ 3'!$D$39:$AF$39)</f>
        <v>0</v>
      </c>
    </row>
    <row r="26" spans="2:8" ht="11.45" customHeight="1" thickBot="1" x14ac:dyDescent="0.25">
      <c r="B26" s="116" t="s">
        <v>91</v>
      </c>
      <c r="C26" s="116"/>
    </row>
    <row r="27" spans="2:8" ht="25.15" customHeight="1" x14ac:dyDescent="0.2">
      <c r="B27" s="113" t="str">
        <f>CONCATENATE($I$5,$I$3)</f>
        <v>Расходы по коммунальным услугам, потребленным на содержание общего иммущества многоквартирного дома№ 21 ул. Мира (вставка)</v>
      </c>
      <c r="C27" s="114"/>
      <c r="D27" s="114"/>
      <c r="E27" s="115"/>
    </row>
    <row r="28" spans="2:8" ht="25.15" customHeight="1" x14ac:dyDescent="0.2">
      <c r="B28" s="44">
        <v>1</v>
      </c>
      <c r="C28" s="45" t="str">
        <f>'ЖЭУ 3'!AB5</f>
        <v>Электрическая энергия, потребляемая при содержании общего имущества в МКД</v>
      </c>
      <c r="D28" s="46" t="s">
        <v>90</v>
      </c>
      <c r="E28" s="47">
        <f ca="1">SUMIF('ЖЭУ 3'!$D$5:$AF$6,'Ленина 1'!$C28,'ЖЭУ 3'!$D$39:$AF$39)</f>
        <v>0</v>
      </c>
      <c r="G28" s="52"/>
    </row>
    <row r="29" spans="2:8" ht="25.15" customHeight="1" x14ac:dyDescent="0.2">
      <c r="B29" s="44">
        <v>2</v>
      </c>
      <c r="C29" s="45" t="str">
        <f>'ЖЭУ 3'!AC5</f>
        <v>Холодная вода, потребляемая при содержании общего имущества в МКД</v>
      </c>
      <c r="D29" s="46" t="s">
        <v>90</v>
      </c>
      <c r="E29" s="47" t="e">
        <f ca="1">SUMIF('ЖЭУ 3'!$D$5:$AF$6,'Ленина 1'!$C29,'ЖЭУ 3'!$D$39:$AF$39)</f>
        <v>#REF!</v>
      </c>
      <c r="G29" s="52" t="e">
        <f ca="1">SUM(E28:E32)</f>
        <v>#REF!</v>
      </c>
      <c r="H29" s="52" t="e">
        <f ca="1">G29-'ЖЭУ 3'!AJ39</f>
        <v>#REF!</v>
      </c>
    </row>
    <row r="30" spans="2:8" ht="27.6" customHeight="1" x14ac:dyDescent="0.2">
      <c r="B30" s="44">
        <v>3</v>
      </c>
      <c r="C30" s="45" t="str">
        <f>'ЖЭУ 3'!AD5</f>
        <v>Холодная вода в составе горячей на содержание общего имущества МКД</v>
      </c>
      <c r="D30" s="46" t="s">
        <v>90</v>
      </c>
      <c r="E30" s="47" t="e">
        <f ca="1">SUMIF('ЖЭУ 3'!$D$5:$AF$6,'Ленина 1'!$C30,'ЖЭУ 3'!$D$39:$AF$39)</f>
        <v>#REF!</v>
      </c>
    </row>
    <row r="31" spans="2:8" ht="27.6" customHeight="1" x14ac:dyDescent="0.2">
      <c r="B31" s="44">
        <v>4</v>
      </c>
      <c r="C31" s="45" t="str">
        <f>'ЖЭУ 3'!AE5</f>
        <v>Горячая вода, потребляемая при содержании общего имущества в МКД</v>
      </c>
      <c r="D31" s="46" t="s">
        <v>90</v>
      </c>
      <c r="E31" s="47">
        <f ca="1">SUMIF('ЖЭУ 3'!$D$5:$AF$6,'Ленина 1'!$C31,'ЖЭУ 3'!$D$39:$AF$39)</f>
        <v>0</v>
      </c>
    </row>
    <row r="32" spans="2:8" ht="27.6" customHeight="1" thickBot="1" x14ac:dyDescent="0.25">
      <c r="B32" s="48">
        <v>5</v>
      </c>
      <c r="C32" s="49" t="str">
        <f>'ЖЭУ 3'!AF5</f>
        <v>Водоотведение при содержании общего имущества в МКД</v>
      </c>
      <c r="D32" s="50" t="s">
        <v>90</v>
      </c>
      <c r="E32" s="47" t="e">
        <f ca="1">SUMIF('ЖЭУ 3'!$D$5:$AF$6,'Ленина 1'!$C32,'ЖЭУ 3'!$D$39:$AF$39)</f>
        <v>#REF!</v>
      </c>
    </row>
    <row r="33" spans="2:8" ht="11.45" customHeight="1" x14ac:dyDescent="0.2">
      <c r="B33" s="53"/>
      <c r="C33" s="59"/>
      <c r="D33" s="55"/>
      <c r="E33" s="56"/>
    </row>
    <row r="34" spans="2:8" ht="21.6" customHeight="1" x14ac:dyDescent="0.2">
      <c r="B34" s="116" t="s">
        <v>92</v>
      </c>
      <c r="C34" s="116"/>
      <c r="D34" s="116"/>
      <c r="E34" s="116"/>
      <c r="G34" s="58"/>
    </row>
    <row r="35" spans="2:8" ht="15" customHeight="1" x14ac:dyDescent="0.2">
      <c r="B35" s="116"/>
      <c r="C35" s="116"/>
      <c r="D35" s="116"/>
      <c r="E35" s="116"/>
      <c r="H35" s="52"/>
    </row>
    <row r="36" spans="2:8" x14ac:dyDescent="0.2">
      <c r="B36" s="57"/>
      <c r="C36" s="59"/>
      <c r="D36" s="55"/>
      <c r="E36" s="56"/>
      <c r="G36" s="60"/>
      <c r="H36" s="61"/>
    </row>
    <row r="37" spans="2:8" x14ac:dyDescent="0.2">
      <c r="B37" s="117"/>
      <c r="C37" s="117"/>
      <c r="G37" s="60"/>
      <c r="H37" s="62"/>
    </row>
    <row r="38" spans="2:8" x14ac:dyDescent="0.2">
      <c r="B38" s="118" t="s">
        <v>93</v>
      </c>
      <c r="C38" s="118"/>
      <c r="E38" s="42" t="s">
        <v>94</v>
      </c>
      <c r="H38" s="63"/>
    </row>
  </sheetData>
  <mergeCells count="10">
    <mergeCell ref="B27:E27"/>
    <mergeCell ref="B34:E35"/>
    <mergeCell ref="B37:C37"/>
    <mergeCell ref="B38:C38"/>
    <mergeCell ref="B4:E4"/>
    <mergeCell ref="B5:B6"/>
    <mergeCell ref="C5:C6"/>
    <mergeCell ref="D5:D6"/>
    <mergeCell ref="E5:E6"/>
    <mergeCell ref="B26:C26"/>
  </mergeCells>
  <pageMargins left="0.7" right="0.7" top="0.75" bottom="0.75" header="0.3" footer="0.3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view="pageBreakPreview" topLeftCell="A13" zoomScale="75" zoomScaleNormal="100" zoomScaleSheetLayoutView="75" workbookViewId="0">
      <selection activeCell="E13" sqref="E13"/>
    </sheetView>
  </sheetViews>
  <sheetFormatPr defaultColWidth="8.85546875" defaultRowHeight="12.75" x14ac:dyDescent="0.2"/>
  <cols>
    <col min="1" max="1" width="3.42578125" style="41" customWidth="1"/>
    <col min="2" max="2" width="4.85546875" style="41" customWidth="1"/>
    <col min="3" max="3" width="43.7109375" style="41" customWidth="1"/>
    <col min="4" max="4" width="9" style="41" bestFit="1" customWidth="1"/>
    <col min="5" max="5" width="12.5703125" style="42" customWidth="1"/>
    <col min="6" max="16384" width="8.85546875" style="41"/>
  </cols>
  <sheetData>
    <row r="1" spans="2:9" x14ac:dyDescent="0.2">
      <c r="F1" s="43" t="s">
        <v>85</v>
      </c>
    </row>
    <row r="2" spans="2:9" ht="15" x14ac:dyDescent="0.35">
      <c r="F2" s="90" t="s">
        <v>139</v>
      </c>
    </row>
    <row r="3" spans="2:9" ht="13.5" thickBot="1" x14ac:dyDescent="0.25">
      <c r="I3" s="41" t="s">
        <v>98</v>
      </c>
    </row>
    <row r="4" spans="2:9" ht="24" customHeight="1" x14ac:dyDescent="0.2">
      <c r="B4" s="119" t="str">
        <f>CONCATENATE($I$4,$I$3)</f>
        <v>Размер платы на содержание общего имущества многоквартирного дома№ 1А ул. Ленина</v>
      </c>
      <c r="C4" s="120"/>
      <c r="D4" s="120"/>
      <c r="E4" s="121"/>
      <c r="I4" s="41" t="s">
        <v>96</v>
      </c>
    </row>
    <row r="5" spans="2:9" ht="13.9" customHeight="1" x14ac:dyDescent="0.2">
      <c r="B5" s="122" t="s">
        <v>1</v>
      </c>
      <c r="C5" s="123" t="s">
        <v>87</v>
      </c>
      <c r="D5" s="124" t="s">
        <v>88</v>
      </c>
      <c r="E5" s="125" t="s">
        <v>89</v>
      </c>
      <c r="I5" s="41" t="s">
        <v>97</v>
      </c>
    </row>
    <row r="6" spans="2:9" x14ac:dyDescent="0.2">
      <c r="B6" s="122"/>
      <c r="C6" s="123"/>
      <c r="D6" s="124"/>
      <c r="E6" s="125"/>
    </row>
    <row r="7" spans="2:9" ht="41.45" customHeight="1" x14ac:dyDescent="0.2">
      <c r="B7" s="44">
        <v>1</v>
      </c>
      <c r="C7" s="45" t="str">
        <f>'ЖЭУ 3'!D5</f>
        <v xml:space="preserve">Управление  многоквартирным домом   </v>
      </c>
      <c r="D7" s="46" t="s">
        <v>90</v>
      </c>
      <c r="E7" s="47">
        <f ca="1">SUMIF('ЖЭУ 3'!$D$5:$AF$6,'Ленина 1'!$C7,'ЖЭУ 3'!$D$9:$AF$9)</f>
        <v>5.04</v>
      </c>
    </row>
    <row r="8" spans="2:9" ht="41.45" customHeight="1" x14ac:dyDescent="0.2">
      <c r="B8" s="44">
        <v>2</v>
      </c>
      <c r="C8" s="45" t="str">
        <f>'ЖЭУ 3'!E5</f>
        <v>Уборка и санитарно-гигиеническая очистка 
лестничных клеток</v>
      </c>
      <c r="D8" s="46" t="s">
        <v>90</v>
      </c>
      <c r="E8" s="47">
        <f ca="1">SUMIF('ЖЭУ 3'!$D$5:$AF$6,'Ленина 1'!$C8,'ЖЭУ 3'!$D$9:$AF$9)</f>
        <v>4.4000000000000004</v>
      </c>
    </row>
    <row r="9" spans="2:9" ht="41.45" customHeight="1" x14ac:dyDescent="0.2">
      <c r="B9" s="44">
        <v>3</v>
      </c>
      <c r="C9" s="45" t="str">
        <f>'ЖЭУ 3'!F5</f>
        <v>Уборка и санитарно-гигиеническая очистка земельного участка и контейнерных площадок</v>
      </c>
      <c r="D9" s="46" t="s">
        <v>90</v>
      </c>
      <c r="E9" s="47">
        <f ca="1">SUMIF('ЖЭУ 3'!$D$5:$AF$6,'Ленина 1'!$C9,'ЖЭУ 3'!$D$9:$AF$9)</f>
        <v>7.68</v>
      </c>
    </row>
    <row r="10" spans="2:9" ht="41.45" customHeight="1" x14ac:dyDescent="0.2">
      <c r="B10" s="44">
        <v>4</v>
      </c>
      <c r="C10" s="45" t="str">
        <f>'ЖЭУ 3'!G5</f>
        <v>Содержание и техническое обслуживание конструктивных элементов</v>
      </c>
      <c r="D10" s="46" t="s">
        <v>90</v>
      </c>
      <c r="E10" s="47">
        <f ca="1">SUMIF('ЖЭУ 3'!$D$5:$AF$6,'Ленина 1'!$C10,'ЖЭУ 3'!$D$9:$AF$9)</f>
        <v>2.2599999999999998</v>
      </c>
    </row>
    <row r="11" spans="2:9" ht="41.45" customHeight="1" x14ac:dyDescent="0.2">
      <c r="B11" s="44">
        <v>5</v>
      </c>
      <c r="C11" s="45" t="str">
        <f>'ЖЭУ 3'!H5</f>
        <v>Содержание и техническое обслуживание внутридомовых систем холодного и горячего водоснабжения, отопления и канализации</v>
      </c>
      <c r="D11" s="46" t="s">
        <v>90</v>
      </c>
      <c r="E11" s="47">
        <f ca="1">SUMIF('ЖЭУ 3'!$D$5:$AF$6,'Ленина 1'!$C11,'ЖЭУ 3'!$D$9:$AF$9)</f>
        <v>3.1</v>
      </c>
    </row>
    <row r="12" spans="2:9" ht="41.45" customHeight="1" x14ac:dyDescent="0.2">
      <c r="B12" s="44">
        <v>6</v>
      </c>
      <c r="C12" s="45" t="str">
        <f>'ЖЭУ 3'!I5</f>
        <v>Содержание и техническое обслуживание внутридомовых систем электроснабжения</v>
      </c>
      <c r="D12" s="46" t="s">
        <v>90</v>
      </c>
      <c r="E12" s="47">
        <f ca="1">SUMIF('ЖЭУ 3'!$D$5:$AF$6,'Ленина 1'!$C12,'ЖЭУ 3'!$D$9:$AF$9)</f>
        <v>2.46</v>
      </c>
    </row>
    <row r="13" spans="2:9" ht="41.45" customHeight="1" x14ac:dyDescent="0.2">
      <c r="B13" s="44">
        <v>7</v>
      </c>
      <c r="C13" s="45" t="str">
        <f>'ЖЭУ 3'!J5</f>
        <v>Текущий ремонт МКД</v>
      </c>
      <c r="D13" s="46" t="s">
        <v>90</v>
      </c>
      <c r="E13" s="47">
        <f ca="1">SUMIF('ЖЭУ 3'!$D$5:$AF$6,'Ленина 1'!$C13,'ЖЭУ 3'!$D$9:$AF$9)</f>
        <v>9.5900000000000016</v>
      </c>
    </row>
    <row r="14" spans="2:9" ht="41.45" customHeight="1" x14ac:dyDescent="0.2">
      <c r="B14" s="44">
        <v>8</v>
      </c>
      <c r="C14" s="45" t="str">
        <f>'ЖЭУ 3'!P5</f>
        <v>Дератизация, дезинсекция помещений</v>
      </c>
      <c r="D14" s="46" t="s">
        <v>90</v>
      </c>
      <c r="E14" s="47">
        <f ca="1">SUMIF('ЖЭУ 3'!$D$5:$AF$6,'Ленина 1'!$C14,'ЖЭУ 3'!$D$9:$AF$9)</f>
        <v>0.1</v>
      </c>
    </row>
    <row r="15" spans="2:9" ht="41.45" customHeight="1" x14ac:dyDescent="0.2">
      <c r="B15" s="44">
        <v>9</v>
      </c>
      <c r="C15" s="45" t="str">
        <f>'ЖЭУ 3'!Q5</f>
        <v>Благоустройство придомовой территории</v>
      </c>
      <c r="D15" s="46" t="s">
        <v>90</v>
      </c>
      <c r="E15" s="47">
        <f ca="1">SUMIF('ЖЭУ 3'!$D$5:$AF$6,'Ленина 1'!$C15,'ЖЭУ 3'!$D$9:$AF$9)</f>
        <v>0.37</v>
      </c>
    </row>
    <row r="16" spans="2:9" ht="41.45" customHeight="1" x14ac:dyDescent="0.2">
      <c r="B16" s="44">
        <v>10</v>
      </c>
      <c r="C16" s="45" t="str">
        <f>'ЖЭУ 3'!R5</f>
        <v>Сбор и вывоз твердых коммунальных отходов</v>
      </c>
      <c r="D16" s="46" t="s">
        <v>90</v>
      </c>
      <c r="E16" s="47">
        <f ca="1">SUMIF('ЖЭУ 3'!$D$5:$AF$6,'Ленина 1'!$C16,'ЖЭУ 3'!$D$9:$AF$9)</f>
        <v>1.49</v>
      </c>
    </row>
    <row r="17" spans="2:8" ht="41.45" customHeight="1" x14ac:dyDescent="0.2">
      <c r="B17" s="44">
        <v>11</v>
      </c>
      <c r="C17" s="45" t="str">
        <f>'ЖЭУ 3'!S5</f>
        <v>Механизированная уборка территорий от снега</v>
      </c>
      <c r="D17" s="46" t="s">
        <v>90</v>
      </c>
      <c r="E17" s="47">
        <f ca="1">SUMIF('ЖЭУ 3'!$D$5:$AF$6,'Ленина 1'!$C17,'ЖЭУ 3'!$D$9:$AF$9)</f>
        <v>0.7</v>
      </c>
    </row>
    <row r="18" spans="2:8" ht="41.45" customHeight="1" x14ac:dyDescent="0.2">
      <c r="B18" s="44">
        <v>12</v>
      </c>
      <c r="C18" s="45" t="str">
        <f>'ЖЭУ 3'!T5</f>
        <v>Содержание, техническое обслуживание КОДПУ тепловой энергии на отопление</v>
      </c>
      <c r="D18" s="46" t="s">
        <v>90</v>
      </c>
      <c r="E18" s="47">
        <f ca="1">SUMIF('ЖЭУ 3'!$D$5:$AF$6,'Ленина 1'!$C18,'ЖЭУ 3'!$D$9:$AF$9)</f>
        <v>0.51</v>
      </c>
    </row>
    <row r="19" spans="2:8" ht="41.45" customHeight="1" x14ac:dyDescent="0.2">
      <c r="B19" s="44">
        <v>13</v>
      </c>
      <c r="C19" s="45" t="str">
        <f>'ЖЭУ 3'!U5</f>
        <v>Содержание, техническое обслуживание КОДПУ горячего водоснабжения</v>
      </c>
      <c r="D19" s="46" t="s">
        <v>90</v>
      </c>
      <c r="E19" s="47">
        <f ca="1">SUMIF('ЖЭУ 3'!$D$5:$AF$6,'Ленина 1'!$C19,'ЖЭУ 3'!$D$9:$AF$9)</f>
        <v>0</v>
      </c>
    </row>
    <row r="20" spans="2:8" ht="41.45" customHeight="1" x14ac:dyDescent="0.2">
      <c r="B20" s="44">
        <v>14</v>
      </c>
      <c r="C20" s="45" t="str">
        <f>'ЖЭУ 3'!V5</f>
        <v>Содержание, техническое обслуживание КОДПУ холодного водоснабжения</v>
      </c>
      <c r="D20" s="46" t="s">
        <v>90</v>
      </c>
      <c r="E20" s="47">
        <f ca="1">SUMIF('ЖЭУ 3'!$D$5:$AF$6,'Ленина 1'!$C20,'ЖЭУ 3'!$D$9:$AF$9)</f>
        <v>0.36</v>
      </c>
    </row>
    <row r="21" spans="2:8" ht="41.45" customHeight="1" x14ac:dyDescent="0.2">
      <c r="B21" s="44">
        <v>15</v>
      </c>
      <c r="C21" s="45" t="str">
        <f>'ЖЭУ 3'!W5</f>
        <v>Поверка, замена вышедшего из строя оборудования коллективног ОПУ тепловой энергии на отопление</v>
      </c>
      <c r="D21" s="46" t="s">
        <v>90</v>
      </c>
      <c r="E21" s="47">
        <f ca="1">SUMIF('ЖЭУ 3'!$D$5:$AF$6,'Ленина 1'!$C21,'ЖЭУ 3'!$D$9:$AF$9)</f>
        <v>0.35</v>
      </c>
    </row>
    <row r="22" spans="2:8" ht="41.45" customHeight="1" x14ac:dyDescent="0.2">
      <c r="B22" s="44">
        <v>16</v>
      </c>
      <c r="C22" s="45" t="str">
        <f>'ЖЭУ 3'!X5</f>
        <v>Поверка, замена вышедшего из строя оборудования коллективног ОПУ горячего водоснабжения</v>
      </c>
      <c r="D22" s="46" t="s">
        <v>90</v>
      </c>
      <c r="E22" s="47">
        <f ca="1">SUMIF('ЖЭУ 3'!$D$5:$AF$6,'Ленина 1'!$C22,'ЖЭУ 3'!$D$9:$AF$9)</f>
        <v>0</v>
      </c>
      <c r="G22" s="52">
        <f ca="1">SUM(E7:E25)</f>
        <v>38.940000000000012</v>
      </c>
      <c r="H22" s="52">
        <f ca="1">G22-'ЖЭУ 3'!AK9</f>
        <v>0</v>
      </c>
    </row>
    <row r="23" spans="2:8" ht="39.6" customHeight="1" x14ac:dyDescent="0.2">
      <c r="B23" s="44">
        <v>17</v>
      </c>
      <c r="C23" s="45" t="str">
        <f>'ЖЭУ 3'!Y5</f>
        <v>Поверка, замена вышедшего из строя оборудования коллективног ОПУ холодного водоснабжения</v>
      </c>
      <c r="D23" s="46" t="s">
        <v>90</v>
      </c>
      <c r="E23" s="47">
        <f ca="1">SUMIF('ЖЭУ 3'!$D$5:$AF$6,'Ленина 1'!$C23,'ЖЭУ 3'!$D$9:$AF$9)</f>
        <v>0.15</v>
      </c>
    </row>
    <row r="24" spans="2:8" ht="43.15" customHeight="1" x14ac:dyDescent="0.2">
      <c r="B24" s="44">
        <v>18</v>
      </c>
      <c r="C24" s="45" t="str">
        <f>'ЖЭУ 3'!Z5</f>
        <v>Поверка, замена вышедшего из строя оборудования коллективног ОПУ электрической энергии</v>
      </c>
      <c r="D24" s="46" t="s">
        <v>90</v>
      </c>
      <c r="E24" s="47">
        <f ca="1">SUMIF('ЖЭУ 3'!$D$5:$AF$6,'Ленина 1'!$C24,'ЖЭУ 3'!$D$9:$AF$9)</f>
        <v>0.38</v>
      </c>
    </row>
    <row r="25" spans="2:8" ht="31.9" customHeight="1" thickBot="1" x14ac:dyDescent="0.25">
      <c r="B25" s="48">
        <v>19</v>
      </c>
      <c r="C25" s="49" t="str">
        <f>'ЖЭУ 3'!AA5</f>
        <v>Техническое обслуживание систем аудидомофонной связи</v>
      </c>
      <c r="D25" s="50" t="s">
        <v>90</v>
      </c>
      <c r="E25" s="47">
        <f ca="1">SUMIF('ЖЭУ 3'!$D$5:$AF$6,'Ленина 1'!$C25,'ЖЭУ 3'!$D$9:$AF$9)</f>
        <v>0</v>
      </c>
    </row>
    <row r="26" spans="2:8" ht="25.15" customHeight="1" thickBot="1" x14ac:dyDescent="0.25">
      <c r="B26" s="116" t="s">
        <v>91</v>
      </c>
      <c r="C26" s="116"/>
    </row>
    <row r="27" spans="2:8" ht="25.15" customHeight="1" x14ac:dyDescent="0.2">
      <c r="B27" s="113" t="str">
        <f>CONCATENATE($I$5,$I$3)</f>
        <v>Расходы по коммунальным услугам, потребленным на содержание общего иммущества многоквартирного дома№ 1А ул. Ленина</v>
      </c>
      <c r="C27" s="114"/>
      <c r="D27" s="114"/>
      <c r="E27" s="115"/>
    </row>
    <row r="28" spans="2:8" ht="27.6" customHeight="1" x14ac:dyDescent="0.2">
      <c r="B28" s="44">
        <v>1</v>
      </c>
      <c r="C28" s="45" t="str">
        <f>'ЖЭУ 3'!AB5</f>
        <v>Электрическая энергия, потребляемая при содержании общего имущества в МКД</v>
      </c>
      <c r="D28" s="46" t="s">
        <v>90</v>
      </c>
      <c r="E28" s="47">
        <f ca="1">SUMIF('ЖЭУ 3'!$D$5:$AF$6,'Ленина 1'!$C28,'ЖЭУ 3'!$D$9:$AF$9)</f>
        <v>0.96733097144898639</v>
      </c>
      <c r="G28" s="52"/>
    </row>
    <row r="29" spans="2:8" ht="27.6" customHeight="1" x14ac:dyDescent="0.2">
      <c r="B29" s="44">
        <v>2</v>
      </c>
      <c r="C29" s="45" t="str">
        <f>'ЖЭУ 3'!AC5</f>
        <v>Холодная вода, потребляемая при содержании общего имущества в МКД</v>
      </c>
      <c r="D29" s="46" t="s">
        <v>90</v>
      </c>
      <c r="E29" s="47">
        <f ca="1">SUMIF('ЖЭУ 3'!$D$5:$AF$6,'Ленина 1'!$C29,'ЖЭУ 3'!$D$9:$AF$9)</f>
        <v>0.1495135335973086</v>
      </c>
      <c r="G29" s="52">
        <f ca="1">SUM(E28:E32)</f>
        <v>1.9025303736342252</v>
      </c>
      <c r="H29" s="52">
        <f ca="1">G29-'ЖЭУ 3'!AJ9</f>
        <v>0</v>
      </c>
    </row>
    <row r="30" spans="2:8" ht="27.6" customHeight="1" x14ac:dyDescent="0.2">
      <c r="B30" s="44">
        <v>3</v>
      </c>
      <c r="C30" s="45" t="str">
        <f>'ЖЭУ 3'!AD5</f>
        <v>Холодная вода в составе горячей на содержание общего имущества МКД</v>
      </c>
      <c r="D30" s="46" t="s">
        <v>90</v>
      </c>
      <c r="E30" s="47">
        <f ca="1">SUMIF('ЖЭУ 3'!$D$5:$AF$6,'Ленина 1'!$C30,'ЖЭУ 3'!$D$9:$AF$9)</f>
        <v>0.49743899490904747</v>
      </c>
    </row>
    <row r="31" spans="2:8" ht="27.6" customHeight="1" x14ac:dyDescent="0.2">
      <c r="B31" s="44">
        <v>4</v>
      </c>
      <c r="C31" s="45" t="str">
        <f>'ЖЭУ 3'!AE5</f>
        <v>Горячая вода, потребляемая при содержании общего имущества в МКД</v>
      </c>
      <c r="D31" s="46" t="s">
        <v>90</v>
      </c>
      <c r="E31" s="47">
        <f ca="1">SUMIF('ЖЭУ 3'!$D$5:$AF$6,'Ленина 1'!$C31,'ЖЭУ 3'!$D$9:$AF$9)</f>
        <v>0</v>
      </c>
    </row>
    <row r="32" spans="2:8" ht="27.6" customHeight="1" thickBot="1" x14ac:dyDescent="0.25">
      <c r="B32" s="48">
        <v>5</v>
      </c>
      <c r="C32" s="49" t="str">
        <f>'ЖЭУ 3'!AF5</f>
        <v>Водоотведение при содержании общего имущества в МКД</v>
      </c>
      <c r="D32" s="50" t="s">
        <v>90</v>
      </c>
      <c r="E32" s="51">
        <f ca="1">SUMIF('ЖЭУ 3'!$D$5:$AF$6,'Ленина 1'!$C32,'ЖЭУ 3'!$D$9:$AF$9)</f>
        <v>0.28824687367888285</v>
      </c>
    </row>
    <row r="33" spans="2:8" ht="11.45" customHeight="1" x14ac:dyDescent="0.2">
      <c r="B33" s="53"/>
      <c r="C33" s="54"/>
      <c r="D33" s="55"/>
      <c r="E33" s="56"/>
    </row>
    <row r="34" spans="2:8" ht="21.6" customHeight="1" x14ac:dyDescent="0.2">
      <c r="B34" s="116" t="s">
        <v>92</v>
      </c>
      <c r="C34" s="116"/>
      <c r="D34" s="116"/>
      <c r="E34" s="116"/>
      <c r="G34" s="58"/>
    </row>
    <row r="35" spans="2:8" ht="15" customHeight="1" x14ac:dyDescent="0.2">
      <c r="B35" s="116"/>
      <c r="C35" s="116"/>
      <c r="D35" s="116"/>
      <c r="E35" s="116"/>
      <c r="H35" s="52"/>
    </row>
    <row r="36" spans="2:8" x14ac:dyDescent="0.2">
      <c r="B36" s="57"/>
      <c r="C36" s="54"/>
      <c r="D36" s="55"/>
      <c r="E36" s="56"/>
      <c r="G36" s="60"/>
      <c r="H36" s="61"/>
    </row>
    <row r="37" spans="2:8" x14ac:dyDescent="0.2">
      <c r="B37" s="117"/>
      <c r="C37" s="117"/>
      <c r="G37" s="60"/>
      <c r="H37" s="62"/>
    </row>
    <row r="38" spans="2:8" x14ac:dyDescent="0.2">
      <c r="B38" s="118" t="s">
        <v>93</v>
      </c>
      <c r="C38" s="118"/>
      <c r="E38" s="42" t="s">
        <v>94</v>
      </c>
      <c r="H38" s="63"/>
    </row>
  </sheetData>
  <mergeCells count="10">
    <mergeCell ref="B37:C37"/>
    <mergeCell ref="B38:C38"/>
    <mergeCell ref="B26:C26"/>
    <mergeCell ref="B27:E27"/>
    <mergeCell ref="B34:E35"/>
    <mergeCell ref="B4:E4"/>
    <mergeCell ref="B5:B6"/>
    <mergeCell ref="C5:C6"/>
    <mergeCell ref="D5:D6"/>
    <mergeCell ref="E5:E6"/>
  </mergeCells>
  <pageMargins left="0.7" right="0.7" top="0.75" bottom="0.75" header="0.3" footer="0.3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view="pageBreakPreview" zoomScale="75" zoomScaleNormal="100" zoomScaleSheetLayoutView="75" workbookViewId="0">
      <selection activeCell="F1" sqref="F1:F2"/>
    </sheetView>
  </sheetViews>
  <sheetFormatPr defaultColWidth="8.85546875" defaultRowHeight="12.75" x14ac:dyDescent="0.2"/>
  <cols>
    <col min="1" max="1" width="3.42578125" style="41" customWidth="1"/>
    <col min="2" max="2" width="4.85546875" style="41" customWidth="1"/>
    <col min="3" max="3" width="43.7109375" style="41" customWidth="1"/>
    <col min="4" max="4" width="9" style="41" bestFit="1" customWidth="1"/>
    <col min="5" max="5" width="12.5703125" style="42" customWidth="1"/>
    <col min="6" max="16384" width="8.85546875" style="41"/>
  </cols>
  <sheetData>
    <row r="1" spans="2:9" x14ac:dyDescent="0.2">
      <c r="F1" s="43" t="s">
        <v>85</v>
      </c>
    </row>
    <row r="2" spans="2:9" ht="15" x14ac:dyDescent="0.35">
      <c r="F2" s="90" t="s">
        <v>139</v>
      </c>
    </row>
    <row r="3" spans="2:9" ht="13.5" thickBot="1" x14ac:dyDescent="0.25">
      <c r="I3" s="41" t="s">
        <v>99</v>
      </c>
    </row>
    <row r="4" spans="2:9" ht="24" customHeight="1" x14ac:dyDescent="0.2">
      <c r="B4" s="119" t="str">
        <f>CONCATENATE($I$4,$I$3)</f>
        <v>Размер платы на содержание общего имущества многоквартирного дома№ 3 ул. Ленина</v>
      </c>
      <c r="C4" s="120"/>
      <c r="D4" s="120"/>
      <c r="E4" s="121"/>
      <c r="I4" s="41" t="s">
        <v>96</v>
      </c>
    </row>
    <row r="5" spans="2:9" ht="13.9" customHeight="1" x14ac:dyDescent="0.2">
      <c r="B5" s="122" t="s">
        <v>1</v>
      </c>
      <c r="C5" s="123" t="s">
        <v>87</v>
      </c>
      <c r="D5" s="124" t="s">
        <v>88</v>
      </c>
      <c r="E5" s="125" t="s">
        <v>89</v>
      </c>
      <c r="I5" s="41" t="s">
        <v>97</v>
      </c>
    </row>
    <row r="6" spans="2:9" x14ac:dyDescent="0.2">
      <c r="B6" s="122"/>
      <c r="C6" s="123"/>
      <c r="D6" s="124"/>
      <c r="E6" s="125"/>
    </row>
    <row r="7" spans="2:9" ht="41.45" customHeight="1" x14ac:dyDescent="0.2">
      <c r="B7" s="44">
        <v>1</v>
      </c>
      <c r="C7" s="45" t="str">
        <f>'ЖЭУ 3'!D5</f>
        <v xml:space="preserve">Управление  многоквартирным домом   </v>
      </c>
      <c r="D7" s="46" t="s">
        <v>90</v>
      </c>
      <c r="E7" s="47">
        <f ca="1">SUMIF('ЖЭУ 3'!$D$5:$AF$6,'Ленина 1'!$C7,'ЖЭУ 3'!$D$10:$AF$10)</f>
        <v>5.04</v>
      </c>
    </row>
    <row r="8" spans="2:9" ht="41.45" customHeight="1" x14ac:dyDescent="0.2">
      <c r="B8" s="44">
        <v>2</v>
      </c>
      <c r="C8" s="45" t="str">
        <f>'ЖЭУ 3'!E5</f>
        <v>Уборка и санитарно-гигиеническая очистка 
лестничных клеток</v>
      </c>
      <c r="D8" s="46" t="s">
        <v>90</v>
      </c>
      <c r="E8" s="47">
        <f ca="1">SUMIF('ЖЭУ 3'!$D$5:$AF$6,'Ленина 1'!$C8,'ЖЭУ 3'!$D$10:$AF$10)</f>
        <v>5.8</v>
      </c>
    </row>
    <row r="9" spans="2:9" ht="41.45" customHeight="1" x14ac:dyDescent="0.2">
      <c r="B9" s="44">
        <v>3</v>
      </c>
      <c r="C9" s="45" t="str">
        <f>'ЖЭУ 3'!F5</f>
        <v>Уборка и санитарно-гигиеническая очистка земельного участка и контейнерных площадок</v>
      </c>
      <c r="D9" s="46" t="s">
        <v>90</v>
      </c>
      <c r="E9" s="47">
        <f ca="1">SUMIF('ЖЭУ 3'!$D$5:$AF$6,'Ленина 1'!$C9,'ЖЭУ 3'!$D$10:$AF$10)</f>
        <v>6.16</v>
      </c>
    </row>
    <row r="10" spans="2:9" ht="41.45" customHeight="1" x14ac:dyDescent="0.2">
      <c r="B10" s="44">
        <v>4</v>
      </c>
      <c r="C10" s="45" t="str">
        <f>'ЖЭУ 3'!G5</f>
        <v>Содержание и техническое обслуживание конструктивных элементов</v>
      </c>
      <c r="D10" s="46" t="s">
        <v>90</v>
      </c>
      <c r="E10" s="47">
        <f ca="1">SUMIF('ЖЭУ 3'!$D$5:$AF$6,'Ленина 1'!$C10,'ЖЭУ 3'!$D$10:$AF$10)</f>
        <v>2.38</v>
      </c>
    </row>
    <row r="11" spans="2:9" ht="41.45" customHeight="1" x14ac:dyDescent="0.2">
      <c r="B11" s="44">
        <v>5</v>
      </c>
      <c r="C11" s="45" t="str">
        <f>'ЖЭУ 3'!H5</f>
        <v>Содержание и техническое обслуживание внутридомовых систем холодного и горячего водоснабжения, отопления и канализации</v>
      </c>
      <c r="D11" s="46" t="s">
        <v>90</v>
      </c>
      <c r="E11" s="47">
        <f ca="1">SUMIF('ЖЭУ 3'!$D$5:$AF$6,'Ленина 1'!$C11,'ЖЭУ 3'!$D$10:$AF$10)</f>
        <v>3.27</v>
      </c>
    </row>
    <row r="12" spans="2:9" ht="41.45" customHeight="1" x14ac:dyDescent="0.2">
      <c r="B12" s="44">
        <v>6</v>
      </c>
      <c r="C12" s="45" t="str">
        <f>'ЖЭУ 3'!I5</f>
        <v>Содержание и техническое обслуживание внутридомовых систем электроснабжения</v>
      </c>
      <c r="D12" s="46" t="s">
        <v>90</v>
      </c>
      <c r="E12" s="47">
        <f ca="1">SUMIF('ЖЭУ 3'!$D$5:$AF$6,'Ленина 1'!$C12,'ЖЭУ 3'!$D$10:$AF$10)</f>
        <v>3</v>
      </c>
    </row>
    <row r="13" spans="2:9" ht="41.45" customHeight="1" x14ac:dyDescent="0.2">
      <c r="B13" s="44">
        <v>7</v>
      </c>
      <c r="C13" s="45" t="str">
        <f>'ЖЭУ 3'!J5</f>
        <v>Текущий ремонт МКД</v>
      </c>
      <c r="D13" s="46" t="s">
        <v>90</v>
      </c>
      <c r="E13" s="47">
        <f ca="1">SUMIF('ЖЭУ 3'!$D$5:$AF$6,'Ленина 1'!$C13,'ЖЭУ 3'!$D$10:$AF$10)</f>
        <v>9.5640000000000001</v>
      </c>
    </row>
    <row r="14" spans="2:9" ht="41.45" customHeight="1" x14ac:dyDescent="0.2">
      <c r="B14" s="44">
        <v>8</v>
      </c>
      <c r="C14" s="45" t="str">
        <f>'ЖЭУ 3'!P5</f>
        <v>Дератизация, дезинсекция помещений</v>
      </c>
      <c r="D14" s="46" t="s">
        <v>90</v>
      </c>
      <c r="E14" s="47">
        <f ca="1">SUMIF('ЖЭУ 3'!$D$5:$AF$6,'Ленина 1'!$C14,'ЖЭУ 3'!$D$10:$AF$10)</f>
        <v>0.12</v>
      </c>
    </row>
    <row r="15" spans="2:9" ht="41.45" customHeight="1" x14ac:dyDescent="0.2">
      <c r="B15" s="44">
        <v>9</v>
      </c>
      <c r="C15" s="45" t="str">
        <f>'ЖЭУ 3'!Q5</f>
        <v>Благоустройство придомовой территории</v>
      </c>
      <c r="D15" s="46" t="s">
        <v>90</v>
      </c>
      <c r="E15" s="47">
        <f ca="1">SUMIF('ЖЭУ 3'!$D$5:$AF$6,'Ленина 1'!$C15,'ЖЭУ 3'!$D$10:$AF$10)</f>
        <v>0.37</v>
      </c>
    </row>
    <row r="16" spans="2:9" ht="41.45" customHeight="1" x14ac:dyDescent="0.2">
      <c r="B16" s="44">
        <v>10</v>
      </c>
      <c r="C16" s="45" t="str">
        <f>'ЖЭУ 3'!R5</f>
        <v>Сбор и вывоз твердых коммунальных отходов</v>
      </c>
      <c r="D16" s="46" t="s">
        <v>90</v>
      </c>
      <c r="E16" s="47">
        <f ca="1">SUMIF('ЖЭУ 3'!$D$5:$AF$6,'Ленина 1'!$C16,'ЖЭУ 3'!$D$10:$AF$10)</f>
        <v>1.26</v>
      </c>
    </row>
    <row r="17" spans="2:8" ht="41.45" customHeight="1" x14ac:dyDescent="0.2">
      <c r="B17" s="44">
        <v>11</v>
      </c>
      <c r="C17" s="45" t="str">
        <f>'ЖЭУ 3'!S5</f>
        <v>Механизированная уборка территорий от снега</v>
      </c>
      <c r="D17" s="46" t="s">
        <v>90</v>
      </c>
      <c r="E17" s="47">
        <f ca="1">SUMIF('ЖЭУ 3'!$D$5:$AF$6,'Ленина 1'!$C17,'ЖЭУ 3'!$D$10:$AF$10)</f>
        <v>0.81</v>
      </c>
    </row>
    <row r="18" spans="2:8" ht="41.45" customHeight="1" x14ac:dyDescent="0.2">
      <c r="B18" s="44">
        <v>12</v>
      </c>
      <c r="C18" s="45" t="str">
        <f>'ЖЭУ 3'!T5</f>
        <v>Содержание, техническое обслуживание КОДПУ тепловой энергии на отопление</v>
      </c>
      <c r="D18" s="46" t="s">
        <v>90</v>
      </c>
      <c r="E18" s="47">
        <f ca="1">SUMIF('ЖЭУ 3'!$D$5:$AF$6,'Ленина 1'!$C18,'ЖЭУ 3'!$D$10:$AF$10)</f>
        <v>0.31</v>
      </c>
    </row>
    <row r="19" spans="2:8" ht="41.45" customHeight="1" x14ac:dyDescent="0.2">
      <c r="B19" s="44">
        <v>13</v>
      </c>
      <c r="C19" s="45" t="str">
        <f>'ЖЭУ 3'!U5</f>
        <v>Содержание, техническое обслуживание КОДПУ горячего водоснабжения</v>
      </c>
      <c r="D19" s="46" t="s">
        <v>90</v>
      </c>
      <c r="E19" s="47">
        <f ca="1">SUMIF('ЖЭУ 3'!$D$5:$AF$6,'Ленина 1'!$C19,'ЖЭУ 3'!$D$10:$AF$10)</f>
        <v>0</v>
      </c>
    </row>
    <row r="20" spans="2:8" ht="41.45" customHeight="1" x14ac:dyDescent="0.2">
      <c r="B20" s="44">
        <v>14</v>
      </c>
      <c r="C20" s="45" t="str">
        <f>'ЖЭУ 3'!V5</f>
        <v>Содержание, техническое обслуживание КОДПУ холодного водоснабжения</v>
      </c>
      <c r="D20" s="46" t="s">
        <v>90</v>
      </c>
      <c r="E20" s="47">
        <f ca="1">SUMIF('ЖЭУ 3'!$D$5:$AF$6,'Ленина 1'!$C20,'ЖЭУ 3'!$D$10:$AF$10)</f>
        <v>0.22</v>
      </c>
    </row>
    <row r="21" spans="2:8" ht="41.45" customHeight="1" x14ac:dyDescent="0.2">
      <c r="B21" s="44">
        <v>15</v>
      </c>
      <c r="C21" s="45" t="str">
        <f>'ЖЭУ 3'!W5</f>
        <v>Поверка, замена вышедшего из строя оборудования коллективног ОПУ тепловой энергии на отопление</v>
      </c>
      <c r="D21" s="46" t="s">
        <v>90</v>
      </c>
      <c r="E21" s="47">
        <f ca="1">SUMIF('ЖЭУ 3'!$D$5:$AF$6,'Ленина 1'!$C21,'ЖЭУ 3'!$D$10:$AF$10)</f>
        <v>0.21</v>
      </c>
    </row>
    <row r="22" spans="2:8" ht="41.45" customHeight="1" x14ac:dyDescent="0.2">
      <c r="B22" s="44">
        <v>16</v>
      </c>
      <c r="C22" s="45" t="str">
        <f>'ЖЭУ 3'!X5</f>
        <v>Поверка, замена вышедшего из строя оборудования коллективног ОПУ горячего водоснабжения</v>
      </c>
      <c r="D22" s="46" t="s">
        <v>90</v>
      </c>
      <c r="E22" s="47">
        <f ca="1">SUMIF('ЖЭУ 3'!$D$5:$AF$6,'Ленина 1'!$C22,'ЖЭУ 3'!$D$10:$AF$10)</f>
        <v>0</v>
      </c>
      <c r="G22" s="52">
        <f ca="1">SUM(E7:E25)</f>
        <v>38.833999999999996</v>
      </c>
      <c r="H22" s="52">
        <f ca="1">G22-'ЖЭУ 3'!AK10</f>
        <v>0</v>
      </c>
    </row>
    <row r="23" spans="2:8" ht="39.6" customHeight="1" x14ac:dyDescent="0.2">
      <c r="B23" s="44">
        <v>17</v>
      </c>
      <c r="C23" s="45" t="str">
        <f>'ЖЭУ 3'!Y5</f>
        <v>Поверка, замена вышедшего из строя оборудования коллективног ОПУ холодного водоснабжения</v>
      </c>
      <c r="D23" s="46" t="s">
        <v>90</v>
      </c>
      <c r="E23" s="47">
        <f ca="1">SUMIF('ЖЭУ 3'!$D$5:$AF$6,'Ленина 1'!$C23,'ЖЭУ 3'!$D$10:$AF$10)</f>
        <v>0.09</v>
      </c>
    </row>
    <row r="24" spans="2:8" ht="43.15" customHeight="1" x14ac:dyDescent="0.2">
      <c r="B24" s="44">
        <v>18</v>
      </c>
      <c r="C24" s="45" t="str">
        <f>'ЖЭУ 3'!Z5</f>
        <v>Поверка, замена вышедшего из строя оборудования коллективног ОПУ электрической энергии</v>
      </c>
      <c r="D24" s="46" t="s">
        <v>90</v>
      </c>
      <c r="E24" s="47">
        <f ca="1">SUMIF('ЖЭУ 3'!$D$5:$AF$6,'Ленина 1'!$C24,'ЖЭУ 3'!$D$10:$AF$10)</f>
        <v>0.23</v>
      </c>
    </row>
    <row r="25" spans="2:8" ht="31.9" customHeight="1" thickBot="1" x14ac:dyDescent="0.25">
      <c r="B25" s="48">
        <v>19</v>
      </c>
      <c r="C25" s="49" t="str">
        <f>'ЖЭУ 3'!AA5</f>
        <v>Техническое обслуживание систем аудидомофонной связи</v>
      </c>
      <c r="D25" s="50" t="s">
        <v>90</v>
      </c>
      <c r="E25" s="51">
        <f ca="1">SUMIF('ЖЭУ 3'!$D$5:$AF$6,'Ленина 1'!$C25,'ЖЭУ 3'!$D$10:$AF$10)</f>
        <v>0</v>
      </c>
    </row>
    <row r="26" spans="2:8" ht="12.6" customHeight="1" thickBot="1" x14ac:dyDescent="0.25">
      <c r="B26" s="116" t="s">
        <v>91</v>
      </c>
      <c r="C26" s="116"/>
    </row>
    <row r="27" spans="2:8" ht="25.15" customHeight="1" x14ac:dyDescent="0.2">
      <c r="B27" s="113" t="str">
        <f>CONCATENATE($I$5,$I$3)</f>
        <v>Расходы по коммунальным услугам, потребленным на содержание общего иммущества многоквартирного дома№ 3 ул. Ленина</v>
      </c>
      <c r="C27" s="114"/>
      <c r="D27" s="114"/>
      <c r="E27" s="115"/>
    </row>
    <row r="28" spans="2:8" ht="25.15" customHeight="1" x14ac:dyDescent="0.2">
      <c r="B28" s="44">
        <v>1</v>
      </c>
      <c r="C28" s="45" t="str">
        <f>'ЖЭУ 3'!AB5</f>
        <v>Электрическая энергия, потребляемая при содержании общего имущества в МКД</v>
      </c>
      <c r="D28" s="46" t="s">
        <v>90</v>
      </c>
      <c r="E28" s="47">
        <f ca="1">SUMIF('ЖЭУ 3'!$D$5:$AF$6,'Ленина 1'!$C28,'ЖЭУ 3'!$D$10:$AF$10)</f>
        <v>1.1816081866086365</v>
      </c>
      <c r="G28" s="52"/>
    </row>
    <row r="29" spans="2:8" ht="25.15" customHeight="1" x14ac:dyDescent="0.2">
      <c r="B29" s="44">
        <v>2</v>
      </c>
      <c r="C29" s="45" t="str">
        <f>'ЖЭУ 3'!AC5</f>
        <v>Холодная вода, потребляемая при содержании общего имущества в МКД</v>
      </c>
      <c r="D29" s="46" t="s">
        <v>90</v>
      </c>
      <c r="E29" s="47">
        <f ca="1">SUMIF('ЖЭУ 3'!$D$5:$AF$6,'Ленина 1'!$C29,'ЖЭУ 3'!$D$10:$AF$10)</f>
        <v>0.1885791399744618</v>
      </c>
      <c r="G29" s="52">
        <f ca="1">SUM(E28:E32)</f>
        <v>2.36116093160441</v>
      </c>
      <c r="H29" s="52">
        <f ca="1">G29-'ЖЭУ 3'!AJ10</f>
        <v>0</v>
      </c>
    </row>
    <row r="30" spans="2:8" ht="33" customHeight="1" x14ac:dyDescent="0.2">
      <c r="B30" s="44">
        <v>3</v>
      </c>
      <c r="C30" s="45" t="str">
        <f>'ЖЭУ 3'!AD5</f>
        <v>Холодная вода в составе горячей на содержание общего имущества МКД</v>
      </c>
      <c r="D30" s="46" t="s">
        <v>90</v>
      </c>
      <c r="E30" s="47">
        <f ca="1">SUMIF('ЖЭУ 3'!$D$5:$AF$6,'Ленина 1'!$C30,'ЖЭУ 3'!$D$10:$AF$10)</f>
        <v>0.62741221876517439</v>
      </c>
    </row>
    <row r="31" spans="2:8" ht="33.6" customHeight="1" x14ac:dyDescent="0.2">
      <c r="B31" s="44">
        <v>4</v>
      </c>
      <c r="C31" s="45" t="str">
        <f>'ЖЭУ 3'!AE5</f>
        <v>Горячая вода, потребляемая при содержании общего имущества в МКД</v>
      </c>
      <c r="D31" s="46" t="s">
        <v>90</v>
      </c>
      <c r="E31" s="47">
        <f ca="1">SUMIF('ЖЭУ 3'!$D$5:$AF$6,'Ленина 1'!$C31,'ЖЭУ 3'!$D$10:$AF$10)</f>
        <v>0</v>
      </c>
    </row>
    <row r="32" spans="2:8" ht="35.450000000000003" customHeight="1" thickBot="1" x14ac:dyDescent="0.25">
      <c r="B32" s="48">
        <v>5</v>
      </c>
      <c r="C32" s="49" t="str">
        <f>'ЖЭУ 3'!AF5</f>
        <v>Водоотведение при содержании общего имущества в МКД</v>
      </c>
      <c r="D32" s="50" t="s">
        <v>90</v>
      </c>
      <c r="E32" s="51">
        <f ca="1">SUMIF('ЖЭУ 3'!$D$5:$AF$6,'Ленина 1'!$C32,'ЖЭУ 3'!$D$10:$AF$10)</f>
        <v>0.36356138625613721</v>
      </c>
    </row>
    <row r="33" spans="2:8" ht="11.45" customHeight="1" x14ac:dyDescent="0.2">
      <c r="B33" s="53"/>
      <c r="C33" s="54"/>
      <c r="D33" s="55"/>
      <c r="E33" s="56"/>
    </row>
    <row r="34" spans="2:8" ht="21.6" customHeight="1" x14ac:dyDescent="0.2">
      <c r="B34" s="116" t="s">
        <v>92</v>
      </c>
      <c r="C34" s="116"/>
      <c r="D34" s="116"/>
      <c r="E34" s="116"/>
      <c r="G34" s="58"/>
    </row>
    <row r="35" spans="2:8" ht="15" customHeight="1" x14ac:dyDescent="0.2">
      <c r="B35" s="116"/>
      <c r="C35" s="116"/>
      <c r="D35" s="116"/>
      <c r="E35" s="116"/>
      <c r="H35" s="52"/>
    </row>
    <row r="36" spans="2:8" x14ac:dyDescent="0.2">
      <c r="B36" s="57"/>
      <c r="C36" s="54"/>
      <c r="D36" s="55"/>
      <c r="E36" s="56"/>
      <c r="G36" s="60"/>
      <c r="H36" s="61"/>
    </row>
    <row r="37" spans="2:8" x14ac:dyDescent="0.2">
      <c r="B37" s="117"/>
      <c r="C37" s="117"/>
      <c r="G37" s="60"/>
      <c r="H37" s="62"/>
    </row>
    <row r="38" spans="2:8" x14ac:dyDescent="0.2">
      <c r="B38" s="118" t="s">
        <v>93</v>
      </c>
      <c r="C38" s="118"/>
      <c r="E38" s="42" t="s">
        <v>94</v>
      </c>
      <c r="H38" s="63"/>
    </row>
  </sheetData>
  <mergeCells count="10">
    <mergeCell ref="B37:C37"/>
    <mergeCell ref="B38:C38"/>
    <mergeCell ref="B26:C26"/>
    <mergeCell ref="B27:E27"/>
    <mergeCell ref="B34:E35"/>
    <mergeCell ref="B4:E4"/>
    <mergeCell ref="B5:B6"/>
    <mergeCell ref="C5:C6"/>
    <mergeCell ref="D5:D6"/>
    <mergeCell ref="E5:E6"/>
  </mergeCells>
  <pageMargins left="0.7" right="0.7" top="0.75" bottom="0.75" header="0.3" footer="0.3"/>
  <pageSetup paperSize="9" scale="6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view="pageBreakPreview" zoomScale="75" zoomScaleNormal="100" zoomScaleSheetLayoutView="75" workbookViewId="0">
      <selection activeCell="E32" sqref="E32"/>
    </sheetView>
  </sheetViews>
  <sheetFormatPr defaultColWidth="8.85546875" defaultRowHeight="12.75" x14ac:dyDescent="0.2"/>
  <cols>
    <col min="1" max="1" width="3.42578125" style="41" customWidth="1"/>
    <col min="2" max="2" width="4.85546875" style="41" customWidth="1"/>
    <col min="3" max="3" width="43.7109375" style="41" customWidth="1"/>
    <col min="4" max="4" width="9" style="41" bestFit="1" customWidth="1"/>
    <col min="5" max="5" width="12.5703125" style="42" customWidth="1"/>
    <col min="6" max="16384" width="8.85546875" style="41"/>
  </cols>
  <sheetData>
    <row r="1" spans="2:9" x14ac:dyDescent="0.2">
      <c r="F1" s="43" t="s">
        <v>85</v>
      </c>
    </row>
    <row r="2" spans="2:9" ht="15" x14ac:dyDescent="0.35">
      <c r="F2" s="90" t="s">
        <v>139</v>
      </c>
    </row>
    <row r="3" spans="2:9" ht="13.5" thickBot="1" x14ac:dyDescent="0.25">
      <c r="I3" s="41" t="s">
        <v>100</v>
      </c>
    </row>
    <row r="4" spans="2:9" ht="24" customHeight="1" x14ac:dyDescent="0.2">
      <c r="B4" s="119" t="str">
        <f>CONCATENATE($I$4,$I$3)</f>
        <v>Размер платы на содержание общего имущества многоквартирного дома№ 3А ул. Ленина</v>
      </c>
      <c r="C4" s="120"/>
      <c r="D4" s="120"/>
      <c r="E4" s="121"/>
      <c r="I4" s="41" t="s">
        <v>96</v>
      </c>
    </row>
    <row r="5" spans="2:9" ht="13.9" customHeight="1" x14ac:dyDescent="0.2">
      <c r="B5" s="122" t="s">
        <v>1</v>
      </c>
      <c r="C5" s="123" t="s">
        <v>87</v>
      </c>
      <c r="D5" s="124" t="s">
        <v>88</v>
      </c>
      <c r="E5" s="125" t="s">
        <v>89</v>
      </c>
      <c r="I5" s="41" t="s">
        <v>97</v>
      </c>
    </row>
    <row r="6" spans="2:9" x14ac:dyDescent="0.2">
      <c r="B6" s="122"/>
      <c r="C6" s="123"/>
      <c r="D6" s="124"/>
      <c r="E6" s="125"/>
    </row>
    <row r="7" spans="2:9" ht="41.45" customHeight="1" x14ac:dyDescent="0.2">
      <c r="B7" s="44">
        <v>1</v>
      </c>
      <c r="C7" s="45" t="str">
        <f>'ЖЭУ 3'!D5</f>
        <v xml:space="preserve">Управление  многоквартирным домом   </v>
      </c>
      <c r="D7" s="46" t="s">
        <v>90</v>
      </c>
      <c r="E7" s="47">
        <f ca="1">SUMIF('ЖЭУ 3'!$D$5:$AF$6,'Ленина 1'!$C7,'ЖЭУ 3'!$D$11:$AF$11)</f>
        <v>5.04</v>
      </c>
    </row>
    <row r="8" spans="2:9" ht="41.45" customHeight="1" x14ac:dyDescent="0.2">
      <c r="B8" s="44">
        <v>2</v>
      </c>
      <c r="C8" s="45" t="str">
        <f>'ЖЭУ 3'!E5</f>
        <v>Уборка и санитарно-гигиеническая очистка 
лестничных клеток</v>
      </c>
      <c r="D8" s="46" t="s">
        <v>90</v>
      </c>
      <c r="E8" s="47">
        <f ca="1">SUMIF('ЖЭУ 3'!$D$5:$AF$6,'Ленина 1'!$C8,'ЖЭУ 3'!$D$11:$AF$11)</f>
        <v>2.36</v>
      </c>
    </row>
    <row r="9" spans="2:9" ht="41.45" customHeight="1" x14ac:dyDescent="0.2">
      <c r="B9" s="44">
        <v>3</v>
      </c>
      <c r="C9" s="45" t="str">
        <f>'ЖЭУ 3'!F5</f>
        <v>Уборка и санитарно-гигиеническая очистка земельного участка и контейнерных площадок</v>
      </c>
      <c r="D9" s="46" t="s">
        <v>90</v>
      </c>
      <c r="E9" s="47">
        <f ca="1">SUMIF('ЖЭУ 3'!$D$5:$AF$6,'Ленина 1'!$C9,'ЖЭУ 3'!$D$11:$AF$11)</f>
        <v>8.3800000000000008</v>
      </c>
    </row>
    <row r="10" spans="2:9" ht="41.45" customHeight="1" x14ac:dyDescent="0.2">
      <c r="B10" s="44">
        <v>4</v>
      </c>
      <c r="C10" s="45" t="str">
        <f>'ЖЭУ 3'!G5</f>
        <v>Содержание и техническое обслуживание конструктивных элементов</v>
      </c>
      <c r="D10" s="46" t="s">
        <v>90</v>
      </c>
      <c r="E10" s="47">
        <f ca="1">SUMIF('ЖЭУ 3'!$D$5:$AF$6,'Ленина 1'!$C10,'ЖЭУ 3'!$D$11:$AF$11)</f>
        <v>3.05</v>
      </c>
    </row>
    <row r="11" spans="2:9" ht="41.45" customHeight="1" x14ac:dyDescent="0.2">
      <c r="B11" s="44">
        <v>5</v>
      </c>
      <c r="C11" s="45" t="str">
        <f>'ЖЭУ 3'!H5</f>
        <v>Содержание и техническое обслуживание внутридомовых систем холодного и горячего водоснабжения, отопления и канализации</v>
      </c>
      <c r="D11" s="46" t="s">
        <v>90</v>
      </c>
      <c r="E11" s="47">
        <f ca="1">SUMIF('ЖЭУ 3'!$D$5:$AF$6,'Ленина 1'!$C11,'ЖЭУ 3'!$D$11:$AF$11)</f>
        <v>2.0699999999999998</v>
      </c>
    </row>
    <row r="12" spans="2:9" ht="41.45" customHeight="1" x14ac:dyDescent="0.2">
      <c r="B12" s="44">
        <v>6</v>
      </c>
      <c r="C12" s="45" t="str">
        <f>'ЖЭУ 3'!I5</f>
        <v>Содержание и техническое обслуживание внутридомовых систем электроснабжения</v>
      </c>
      <c r="D12" s="46" t="s">
        <v>90</v>
      </c>
      <c r="E12" s="47">
        <f ca="1">SUMIF('ЖЭУ 3'!$D$5:$AF$6,'Ленина 1'!$C12,'ЖЭУ 3'!$D$11:$AF$11)</f>
        <v>1.35</v>
      </c>
    </row>
    <row r="13" spans="2:9" ht="41.45" customHeight="1" x14ac:dyDescent="0.2">
      <c r="B13" s="44">
        <v>7</v>
      </c>
      <c r="C13" s="45" t="str">
        <f>'ЖЭУ 3'!J5</f>
        <v>Текущий ремонт МКД</v>
      </c>
      <c r="D13" s="46" t="s">
        <v>90</v>
      </c>
      <c r="E13" s="47">
        <f ca="1">SUMIF('ЖЭУ 3'!$D$5:$AF$6,'Ленина 1'!$C13,'ЖЭУ 3'!$D$11:$AF$11)</f>
        <v>12.7</v>
      </c>
    </row>
    <row r="14" spans="2:9" ht="41.45" customHeight="1" x14ac:dyDescent="0.2">
      <c r="B14" s="44">
        <v>8</v>
      </c>
      <c r="C14" s="45" t="str">
        <f>'ЖЭУ 3'!P5</f>
        <v>Дератизация, дезинсекция помещений</v>
      </c>
      <c r="D14" s="46" t="s">
        <v>90</v>
      </c>
      <c r="E14" s="47">
        <f ca="1">SUMIF('ЖЭУ 3'!$D$5:$AF$6,'Ленина 1'!$C14,'ЖЭУ 3'!$D$11:$AF$11)</f>
        <v>0.1</v>
      </c>
    </row>
    <row r="15" spans="2:9" ht="41.45" customHeight="1" x14ac:dyDescent="0.2">
      <c r="B15" s="44">
        <v>9</v>
      </c>
      <c r="C15" s="45" t="str">
        <f>'ЖЭУ 3'!Q5</f>
        <v>Благоустройство придомовой территории</v>
      </c>
      <c r="D15" s="46" t="s">
        <v>90</v>
      </c>
      <c r="E15" s="47">
        <f ca="1">SUMIF('ЖЭУ 3'!$D$5:$AF$6,'Ленина 1'!$C15,'ЖЭУ 3'!$D$11:$AF$11)</f>
        <v>0.37</v>
      </c>
    </row>
    <row r="16" spans="2:9" ht="41.45" customHeight="1" x14ac:dyDescent="0.2">
      <c r="B16" s="44">
        <v>10</v>
      </c>
      <c r="C16" s="45" t="str">
        <f>'ЖЭУ 3'!R5</f>
        <v>Сбор и вывоз твердых коммунальных отходов</v>
      </c>
      <c r="D16" s="46" t="s">
        <v>90</v>
      </c>
      <c r="E16" s="47">
        <f ca="1">SUMIF('ЖЭУ 3'!$D$5:$AF$6,'Ленина 1'!$C16,'ЖЭУ 3'!$D$11:$AF$11)</f>
        <v>1.49</v>
      </c>
    </row>
    <row r="17" spans="2:8" ht="41.45" customHeight="1" x14ac:dyDescent="0.2">
      <c r="B17" s="44">
        <v>11</v>
      </c>
      <c r="C17" s="45" t="str">
        <f>'ЖЭУ 3'!S5</f>
        <v>Механизированная уборка территорий от снега</v>
      </c>
      <c r="D17" s="46" t="s">
        <v>90</v>
      </c>
      <c r="E17" s="47">
        <f ca="1">SUMIF('ЖЭУ 3'!$D$5:$AF$6,'Ленина 1'!$C17,'ЖЭУ 3'!$D$11:$AF$11)</f>
        <v>0.75</v>
      </c>
    </row>
    <row r="18" spans="2:8" ht="41.45" customHeight="1" x14ac:dyDescent="0.2">
      <c r="B18" s="44">
        <v>12</v>
      </c>
      <c r="C18" s="45" t="str">
        <f>'ЖЭУ 3'!T5</f>
        <v>Содержание, техническое обслуживание КОДПУ тепловой энергии на отопление</v>
      </c>
      <c r="D18" s="46" t="s">
        <v>90</v>
      </c>
      <c r="E18" s="47">
        <f ca="1">SUMIF('ЖЭУ 3'!$D$5:$AF$6,'Ленина 1'!$C18,'ЖЭУ 3'!$D$11:$AF$11)</f>
        <v>0.27</v>
      </c>
    </row>
    <row r="19" spans="2:8" ht="41.45" customHeight="1" x14ac:dyDescent="0.2">
      <c r="B19" s="44">
        <v>13</v>
      </c>
      <c r="C19" s="45" t="str">
        <f>'ЖЭУ 3'!U5</f>
        <v>Содержание, техническое обслуживание КОДПУ горячего водоснабжения</v>
      </c>
      <c r="D19" s="46" t="s">
        <v>90</v>
      </c>
      <c r="E19" s="47">
        <f ca="1">SUMIF('ЖЭУ 3'!$D$5:$AF$6,'Ленина 1'!$C19,'ЖЭУ 3'!$D$11:$AF$11)</f>
        <v>0</v>
      </c>
    </row>
    <row r="20" spans="2:8" ht="41.45" customHeight="1" x14ac:dyDescent="0.2">
      <c r="B20" s="44">
        <v>14</v>
      </c>
      <c r="C20" s="45" t="str">
        <f>'ЖЭУ 3'!V5</f>
        <v>Содержание, техническое обслуживание КОДПУ холодного водоснабжения</v>
      </c>
      <c r="D20" s="46" t="s">
        <v>90</v>
      </c>
      <c r="E20" s="47">
        <f ca="1">SUMIF('ЖЭУ 3'!$D$5:$AF$6,'Ленина 1'!$C20,'ЖЭУ 3'!$D$11:$AF$11)</f>
        <v>0.19</v>
      </c>
    </row>
    <row r="21" spans="2:8" ht="41.45" customHeight="1" x14ac:dyDescent="0.2">
      <c r="B21" s="44">
        <v>15</v>
      </c>
      <c r="C21" s="45" t="str">
        <f>'ЖЭУ 3'!W5</f>
        <v>Поверка, замена вышедшего из строя оборудования коллективног ОПУ тепловой энергии на отопление</v>
      </c>
      <c r="D21" s="46" t="s">
        <v>90</v>
      </c>
      <c r="E21" s="47">
        <f ca="1">SUMIF('ЖЭУ 3'!$D$5:$AF$6,'Ленина 1'!$C21,'ЖЭУ 3'!$D$11:$AF$11)</f>
        <v>0.19</v>
      </c>
    </row>
    <row r="22" spans="2:8" ht="41.45" customHeight="1" x14ac:dyDescent="0.2">
      <c r="B22" s="44">
        <v>16</v>
      </c>
      <c r="C22" s="45" t="str">
        <f>'ЖЭУ 3'!X5</f>
        <v>Поверка, замена вышедшего из строя оборудования коллективног ОПУ горячего водоснабжения</v>
      </c>
      <c r="D22" s="46" t="s">
        <v>90</v>
      </c>
      <c r="E22" s="47">
        <f ca="1">SUMIF('ЖЭУ 3'!$D$5:$AF$6,'Ленина 1'!$C22,'ЖЭУ 3'!$D$11:$AF$11)</f>
        <v>0</v>
      </c>
      <c r="G22" s="52">
        <f ca="1">SUM(E7:E25)</f>
        <v>38.590000000000003</v>
      </c>
      <c r="H22" s="52">
        <f ca="1">G22-'ЖЭУ 3'!AK11</f>
        <v>0</v>
      </c>
    </row>
    <row r="23" spans="2:8" ht="34.9" customHeight="1" x14ac:dyDescent="0.2">
      <c r="B23" s="44">
        <v>17</v>
      </c>
      <c r="C23" s="45" t="str">
        <f>'ЖЭУ 3'!Y5</f>
        <v>Поверка, замена вышедшего из строя оборудования коллективног ОПУ холодного водоснабжения</v>
      </c>
      <c r="D23" s="46" t="s">
        <v>90</v>
      </c>
      <c r="E23" s="47">
        <f ca="1">SUMIF('ЖЭУ 3'!$D$5:$AF$6,'Ленина 1'!$C23,'ЖЭУ 3'!$D$11:$AF$11)</f>
        <v>0.08</v>
      </c>
    </row>
    <row r="24" spans="2:8" ht="43.15" customHeight="1" x14ac:dyDescent="0.2">
      <c r="B24" s="44">
        <v>18</v>
      </c>
      <c r="C24" s="45" t="str">
        <f>'ЖЭУ 3'!Z5</f>
        <v>Поверка, замена вышедшего из строя оборудования коллективног ОПУ электрической энергии</v>
      </c>
      <c r="D24" s="46" t="s">
        <v>90</v>
      </c>
      <c r="E24" s="47">
        <f ca="1">SUMIF('ЖЭУ 3'!$D$5:$AF$6,'Ленина 1'!$C24,'ЖЭУ 3'!$D$11:$AF$11)</f>
        <v>0.2</v>
      </c>
    </row>
    <row r="25" spans="2:8" ht="31.9" customHeight="1" thickBot="1" x14ac:dyDescent="0.25">
      <c r="B25" s="48">
        <v>19</v>
      </c>
      <c r="C25" s="49" t="str">
        <f>'ЖЭУ 3'!AA5</f>
        <v>Техническое обслуживание систем аудидомофонной связи</v>
      </c>
      <c r="D25" s="50" t="s">
        <v>90</v>
      </c>
      <c r="E25" s="51">
        <f ca="1">SUMIF('ЖЭУ 3'!$D$5:$AF$6,'Ленина 1'!$C25,'ЖЭУ 3'!$D$11:$AF$11)</f>
        <v>0</v>
      </c>
    </row>
    <row r="26" spans="2:8" ht="13.15" customHeight="1" thickBot="1" x14ac:dyDescent="0.25">
      <c r="B26" s="116" t="s">
        <v>91</v>
      </c>
      <c r="C26" s="116"/>
    </row>
    <row r="27" spans="2:8" ht="25.15" customHeight="1" x14ac:dyDescent="0.2">
      <c r="B27" s="113" t="str">
        <f>CONCATENATE($I$5,$I$3)</f>
        <v>Расходы по коммунальным услугам, потребленным на содержание общего иммущества многоквартирного дома№ 3А ул. Ленина</v>
      </c>
      <c r="C27" s="114"/>
      <c r="D27" s="114"/>
      <c r="E27" s="115"/>
    </row>
    <row r="28" spans="2:8" ht="25.15" customHeight="1" x14ac:dyDescent="0.2">
      <c r="B28" s="44">
        <v>1</v>
      </c>
      <c r="C28" s="45" t="str">
        <f>'ЖЭУ 3'!AB5</f>
        <v>Электрическая энергия, потребляемая при содержании общего имущества в МКД</v>
      </c>
      <c r="D28" s="46" t="s">
        <v>90</v>
      </c>
      <c r="E28" s="47">
        <f ca="1">SUMIF('ЖЭУ 3'!$D$5:$AF$6,'Ленина 1'!$C28,'ЖЭУ 3'!$D$11:$AF$11)</f>
        <v>0.80231518949473313</v>
      </c>
      <c r="G28" s="52"/>
    </row>
    <row r="29" spans="2:8" ht="25.15" customHeight="1" x14ac:dyDescent="0.2">
      <c r="B29" s="44">
        <v>2</v>
      </c>
      <c r="C29" s="45" t="str">
        <f>'ЖЭУ 3'!AC5</f>
        <v>Холодная вода, потребляемая при содержании общего имущества в МКД</v>
      </c>
      <c r="D29" s="46" t="s">
        <v>90</v>
      </c>
      <c r="E29" s="47">
        <f ca="1">SUMIF('ЖЭУ 3'!$D$5:$AF$6,'Ленина 1'!$C29,'ЖЭУ 3'!$D$11:$AF$11)</f>
        <v>2.4660385759947095E-2</v>
      </c>
      <c r="G29" s="52">
        <f ca="1">SUM(E28:E32)</f>
        <v>0.95656462408086773</v>
      </c>
      <c r="H29" s="52">
        <f ca="1">G29-'ЖЭУ 3'!AJ11</f>
        <v>0</v>
      </c>
    </row>
    <row r="30" spans="2:8" ht="33.6" customHeight="1" x14ac:dyDescent="0.2">
      <c r="B30" s="44">
        <v>3</v>
      </c>
      <c r="C30" s="45" t="str">
        <f>'ЖЭУ 3'!AD5</f>
        <v>Холодная вода в составе горячей на содержание общего имущества МКД</v>
      </c>
      <c r="D30" s="46" t="s">
        <v>90</v>
      </c>
      <c r="E30" s="47">
        <f ca="1">SUMIF('ЖЭУ 3'!$D$5:$AF$6,'Ленина 1'!$C30,'ЖЭУ 3'!$D$11:$AF$11)</f>
        <v>8.2046335280502578E-2</v>
      </c>
    </row>
    <row r="31" spans="2:8" ht="33.6" customHeight="1" x14ac:dyDescent="0.2">
      <c r="B31" s="44">
        <v>4</v>
      </c>
      <c r="C31" s="45" t="str">
        <f>'ЖЭУ 3'!AE5</f>
        <v>Горячая вода, потребляемая при содержании общего имущества в МКД</v>
      </c>
      <c r="D31" s="46" t="s">
        <v>90</v>
      </c>
      <c r="E31" s="47">
        <f ca="1">SUMIF('ЖЭУ 3'!$D$5:$AF$6,'Ленина 1'!$C31,'ЖЭУ 3'!$D$11:$AF$11)</f>
        <v>0</v>
      </c>
    </row>
    <row r="32" spans="2:8" ht="35.450000000000003" customHeight="1" thickBot="1" x14ac:dyDescent="0.25">
      <c r="B32" s="48">
        <v>5</v>
      </c>
      <c r="C32" s="49" t="str">
        <f>'ЖЭУ 3'!AF5</f>
        <v>Водоотведение при содержании общего имущества в МКД</v>
      </c>
      <c r="D32" s="50" t="s">
        <v>90</v>
      </c>
      <c r="E32" s="51">
        <f ca="1">SUMIF('ЖЭУ 3'!$D$5:$AF$6,'Ленина 1'!$C32,'ЖЭУ 3'!$D$11:$AF$11)</f>
        <v>4.7542713545684998E-2</v>
      </c>
    </row>
    <row r="33" spans="2:8" ht="11.45" customHeight="1" x14ac:dyDescent="0.2">
      <c r="B33" s="53"/>
      <c r="C33" s="54"/>
      <c r="D33" s="55"/>
      <c r="E33" s="56"/>
    </row>
    <row r="34" spans="2:8" ht="21.6" customHeight="1" x14ac:dyDescent="0.2">
      <c r="B34" s="116" t="s">
        <v>92</v>
      </c>
      <c r="C34" s="116"/>
      <c r="D34" s="116"/>
      <c r="E34" s="116"/>
      <c r="G34" s="58"/>
    </row>
    <row r="35" spans="2:8" ht="15" customHeight="1" x14ac:dyDescent="0.2">
      <c r="B35" s="116"/>
      <c r="C35" s="116"/>
      <c r="D35" s="116"/>
      <c r="E35" s="116"/>
      <c r="H35" s="52"/>
    </row>
    <row r="36" spans="2:8" x14ac:dyDescent="0.2">
      <c r="B36" s="57"/>
      <c r="C36" s="54"/>
      <c r="D36" s="55"/>
      <c r="E36" s="56"/>
      <c r="G36" s="60"/>
      <c r="H36" s="61"/>
    </row>
    <row r="37" spans="2:8" x14ac:dyDescent="0.2">
      <c r="B37" s="117"/>
      <c r="C37" s="117"/>
      <c r="G37" s="60"/>
      <c r="H37" s="62"/>
    </row>
    <row r="38" spans="2:8" x14ac:dyDescent="0.2">
      <c r="B38" s="118" t="s">
        <v>93</v>
      </c>
      <c r="C38" s="118"/>
      <c r="E38" s="42" t="s">
        <v>94</v>
      </c>
      <c r="H38" s="63"/>
    </row>
  </sheetData>
  <mergeCells count="10">
    <mergeCell ref="B37:C37"/>
    <mergeCell ref="B38:C38"/>
    <mergeCell ref="B26:C26"/>
    <mergeCell ref="B27:E27"/>
    <mergeCell ref="B34:E35"/>
    <mergeCell ref="B4:E4"/>
    <mergeCell ref="B5:B6"/>
    <mergeCell ref="C5:C6"/>
    <mergeCell ref="D5:D6"/>
    <mergeCell ref="E5:E6"/>
  </mergeCells>
  <pageMargins left="0.7" right="0.7" top="0.75" bottom="0.75" header="0.3" footer="0.3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tabSelected="1" view="pageBreakPreview" topLeftCell="A22" zoomScale="75" zoomScaleNormal="100" zoomScaleSheetLayoutView="75" workbookViewId="0">
      <selection activeCell="F1" sqref="F1:F2"/>
    </sheetView>
  </sheetViews>
  <sheetFormatPr defaultColWidth="8.85546875" defaultRowHeight="12.75" x14ac:dyDescent="0.2"/>
  <cols>
    <col min="1" max="1" width="3.42578125" style="41" customWidth="1"/>
    <col min="2" max="2" width="4.85546875" style="41" customWidth="1"/>
    <col min="3" max="3" width="43.7109375" style="41" customWidth="1"/>
    <col min="4" max="4" width="9" style="41" bestFit="1" customWidth="1"/>
    <col min="5" max="5" width="12.5703125" style="42" customWidth="1"/>
    <col min="6" max="16384" width="8.85546875" style="41"/>
  </cols>
  <sheetData>
    <row r="1" spans="2:9" x14ac:dyDescent="0.2">
      <c r="F1" s="43" t="s">
        <v>85</v>
      </c>
    </row>
    <row r="2" spans="2:9" ht="15" x14ac:dyDescent="0.35">
      <c r="F2" s="90" t="s">
        <v>139</v>
      </c>
    </row>
    <row r="3" spans="2:9" ht="13.5" thickBot="1" x14ac:dyDescent="0.25">
      <c r="I3" s="41" t="s">
        <v>101</v>
      </c>
    </row>
    <row r="4" spans="2:9" ht="24" customHeight="1" x14ac:dyDescent="0.2">
      <c r="B4" s="119" t="str">
        <f>CONCATENATE($I$4,$I$3)</f>
        <v>Размер платы на содержание общего имущества многоквартирного дома№ 3Б ул. Ленина</v>
      </c>
      <c r="C4" s="120"/>
      <c r="D4" s="120"/>
      <c r="E4" s="121"/>
      <c r="I4" s="41" t="s">
        <v>96</v>
      </c>
    </row>
    <row r="5" spans="2:9" ht="13.9" customHeight="1" x14ac:dyDescent="0.2">
      <c r="B5" s="122" t="s">
        <v>1</v>
      </c>
      <c r="C5" s="123" t="s">
        <v>87</v>
      </c>
      <c r="D5" s="124" t="s">
        <v>88</v>
      </c>
      <c r="E5" s="125" t="s">
        <v>89</v>
      </c>
      <c r="I5" s="41" t="s">
        <v>97</v>
      </c>
    </row>
    <row r="6" spans="2:9" x14ac:dyDescent="0.2">
      <c r="B6" s="122"/>
      <c r="C6" s="123"/>
      <c r="D6" s="124"/>
      <c r="E6" s="125"/>
    </row>
    <row r="7" spans="2:9" ht="41.45" customHeight="1" x14ac:dyDescent="0.2">
      <c r="B7" s="44">
        <v>1</v>
      </c>
      <c r="C7" s="45" t="str">
        <f>'ЖЭУ 3'!D5</f>
        <v xml:space="preserve">Управление  многоквартирным домом   </v>
      </c>
      <c r="D7" s="46" t="s">
        <v>90</v>
      </c>
      <c r="E7" s="47">
        <f ca="1">SUMIF('ЖЭУ 3'!$D$5:$AF$6,'Ленина 1'!$C7,'ЖЭУ 3'!$D$12:$AF$12)</f>
        <v>5.04</v>
      </c>
    </row>
    <row r="8" spans="2:9" ht="41.45" customHeight="1" x14ac:dyDescent="0.2">
      <c r="B8" s="44">
        <v>2</v>
      </c>
      <c r="C8" s="45" t="str">
        <f>'ЖЭУ 3'!E5</f>
        <v>Уборка и санитарно-гигиеническая очистка 
лестничных клеток</v>
      </c>
      <c r="D8" s="46" t="s">
        <v>90</v>
      </c>
      <c r="E8" s="47">
        <f ca="1">SUMIF('ЖЭУ 3'!$D$5:$AF$6,'Ленина 1'!$C8,'ЖЭУ 3'!$D$12:$AF$12)</f>
        <v>2.17</v>
      </c>
    </row>
    <row r="9" spans="2:9" ht="41.45" customHeight="1" x14ac:dyDescent="0.2">
      <c r="B9" s="44">
        <v>3</v>
      </c>
      <c r="C9" s="45" t="str">
        <f>'ЖЭУ 3'!F5</f>
        <v>Уборка и санитарно-гигиеническая очистка земельного участка и контейнерных площадок</v>
      </c>
      <c r="D9" s="46" t="s">
        <v>90</v>
      </c>
      <c r="E9" s="47">
        <f ca="1">SUMIF('ЖЭУ 3'!$D$5:$AF$6,'Ленина 1'!$C9,'ЖЭУ 3'!$D$12:$AF$12)</f>
        <v>9.6999999999999993</v>
      </c>
    </row>
    <row r="10" spans="2:9" ht="41.45" customHeight="1" x14ac:dyDescent="0.2">
      <c r="B10" s="44">
        <v>4</v>
      </c>
      <c r="C10" s="45" t="str">
        <f>'ЖЭУ 3'!G5</f>
        <v>Содержание и техническое обслуживание конструктивных элементов</v>
      </c>
      <c r="D10" s="46" t="s">
        <v>90</v>
      </c>
      <c r="E10" s="47">
        <f ca="1">SUMIF('ЖЭУ 3'!$D$5:$AF$6,'Ленина 1'!$C10,'ЖЭУ 3'!$D$12:$AF$12)</f>
        <v>3.09</v>
      </c>
    </row>
    <row r="11" spans="2:9" ht="41.45" customHeight="1" x14ac:dyDescent="0.2">
      <c r="B11" s="44">
        <v>5</v>
      </c>
      <c r="C11" s="45" t="str">
        <f>'ЖЭУ 3'!H5</f>
        <v>Содержание и техническое обслуживание внутридомовых систем холодного и горячего водоснабжения, отопления и канализации</v>
      </c>
      <c r="D11" s="46" t="s">
        <v>90</v>
      </c>
      <c r="E11" s="47">
        <f ca="1">SUMIF('ЖЭУ 3'!$D$5:$AF$6,'Ленина 1'!$C11,'ЖЭУ 3'!$D$12:$AF$12)</f>
        <v>1.92</v>
      </c>
    </row>
    <row r="12" spans="2:9" ht="41.45" customHeight="1" x14ac:dyDescent="0.2">
      <c r="B12" s="44">
        <v>6</v>
      </c>
      <c r="C12" s="45" t="str">
        <f>'ЖЭУ 3'!I5</f>
        <v>Содержание и техническое обслуживание внутридомовых систем электроснабжения</v>
      </c>
      <c r="D12" s="46" t="s">
        <v>90</v>
      </c>
      <c r="E12" s="47">
        <f ca="1">SUMIF('ЖЭУ 3'!$D$5:$AF$6,'Ленина 1'!$C12,'ЖЭУ 3'!$D$12:$AF$12)</f>
        <v>1.25</v>
      </c>
    </row>
    <row r="13" spans="2:9" ht="41.45" customHeight="1" x14ac:dyDescent="0.2">
      <c r="B13" s="44">
        <v>7</v>
      </c>
      <c r="C13" s="45" t="str">
        <f>'ЖЭУ 3'!J5</f>
        <v>Текущий ремонт МКД</v>
      </c>
      <c r="D13" s="46" t="s">
        <v>90</v>
      </c>
      <c r="E13" s="47">
        <f ca="1">SUMIF('ЖЭУ 3'!$D$5:$AF$6,'Ленина 1'!$C13,'ЖЭУ 3'!$D$12:$AF$12)</f>
        <v>11.384</v>
      </c>
    </row>
    <row r="14" spans="2:9" ht="41.45" customHeight="1" x14ac:dyDescent="0.2">
      <c r="B14" s="44">
        <v>8</v>
      </c>
      <c r="C14" s="45" t="str">
        <f>'ЖЭУ 3'!P5</f>
        <v>Дератизация, дезинсекция помещений</v>
      </c>
      <c r="D14" s="46" t="s">
        <v>90</v>
      </c>
      <c r="E14" s="47">
        <f ca="1">SUMIF('ЖЭУ 3'!$D$5:$AF$6,'Ленина 1'!$C14,'ЖЭУ 3'!$D$12:$AF$12)</f>
        <v>0.11</v>
      </c>
    </row>
    <row r="15" spans="2:9" ht="41.45" customHeight="1" x14ac:dyDescent="0.2">
      <c r="B15" s="44">
        <v>9</v>
      </c>
      <c r="C15" s="45" t="str">
        <f>'ЖЭУ 3'!Q5</f>
        <v>Благоустройство придомовой территории</v>
      </c>
      <c r="D15" s="46" t="s">
        <v>90</v>
      </c>
      <c r="E15" s="47">
        <f ca="1">SUMIF('ЖЭУ 3'!$D$5:$AF$6,'Ленина 1'!$C15,'ЖЭУ 3'!$D$12:$AF$12)</f>
        <v>0.37</v>
      </c>
    </row>
    <row r="16" spans="2:9" ht="41.45" customHeight="1" x14ac:dyDescent="0.2">
      <c r="B16" s="44">
        <v>10</v>
      </c>
      <c r="C16" s="45" t="str">
        <f>'ЖЭУ 3'!R5</f>
        <v>Сбор и вывоз твердых коммунальных отходов</v>
      </c>
      <c r="D16" s="46" t="s">
        <v>90</v>
      </c>
      <c r="E16" s="47">
        <f ca="1">SUMIF('ЖЭУ 3'!$D$5:$AF$6,'Ленина 1'!$C16,'ЖЭУ 3'!$D$12:$AF$12)</f>
        <v>1.75</v>
      </c>
    </row>
    <row r="17" spans="2:8" ht="41.45" customHeight="1" x14ac:dyDescent="0.2">
      <c r="B17" s="44">
        <v>11</v>
      </c>
      <c r="C17" s="45" t="str">
        <f>'ЖЭУ 3'!S5</f>
        <v>Механизированная уборка территорий от снега</v>
      </c>
      <c r="D17" s="46" t="s">
        <v>90</v>
      </c>
      <c r="E17" s="47">
        <f ca="1">SUMIF('ЖЭУ 3'!$D$5:$AF$6,'Ленина 1'!$C17,'ЖЭУ 3'!$D$12:$AF$12)</f>
        <v>0.9</v>
      </c>
    </row>
    <row r="18" spans="2:8" ht="41.45" customHeight="1" x14ac:dyDescent="0.2">
      <c r="B18" s="44">
        <v>12</v>
      </c>
      <c r="C18" s="45" t="str">
        <f>'ЖЭУ 3'!T5</f>
        <v>Содержание, техническое обслуживание КОДПУ тепловой энергии на отопление</v>
      </c>
      <c r="D18" s="46" t="s">
        <v>90</v>
      </c>
      <c r="E18" s="47">
        <f ca="1">SUMIF('ЖЭУ 3'!$D$5:$AF$6,'Ленина 1'!$C18,'ЖЭУ 3'!$D$12:$AF$12)</f>
        <v>0.27</v>
      </c>
    </row>
    <row r="19" spans="2:8" ht="41.45" customHeight="1" x14ac:dyDescent="0.2">
      <c r="B19" s="44">
        <v>13</v>
      </c>
      <c r="C19" s="45" t="str">
        <f>'ЖЭУ 3'!U5</f>
        <v>Содержание, техническое обслуживание КОДПУ горячего водоснабжения</v>
      </c>
      <c r="D19" s="46" t="s">
        <v>90</v>
      </c>
      <c r="E19" s="47">
        <f ca="1">SUMIF('ЖЭУ 3'!$D$5:$AF$6,'Ленина 1'!$C19,'ЖЭУ 3'!$D$12:$AF$12)</f>
        <v>0</v>
      </c>
    </row>
    <row r="20" spans="2:8" ht="41.45" customHeight="1" x14ac:dyDescent="0.2">
      <c r="B20" s="44">
        <v>14</v>
      </c>
      <c r="C20" s="45" t="str">
        <f>'ЖЭУ 3'!V5</f>
        <v>Содержание, техническое обслуживание КОДПУ холодного водоснабжения</v>
      </c>
      <c r="D20" s="46" t="s">
        <v>90</v>
      </c>
      <c r="E20" s="47">
        <f ca="1">SUMIF('ЖЭУ 3'!$D$5:$AF$6,'Ленина 1'!$C20,'ЖЭУ 3'!$D$12:$AF$12)</f>
        <v>0.19</v>
      </c>
    </row>
    <row r="21" spans="2:8" ht="41.45" customHeight="1" x14ac:dyDescent="0.2">
      <c r="B21" s="44">
        <v>15</v>
      </c>
      <c r="C21" s="45" t="str">
        <f>'ЖЭУ 3'!W5</f>
        <v>Поверка, замена вышедшего из строя оборудования коллективног ОПУ тепловой энергии на отопление</v>
      </c>
      <c r="D21" s="46" t="s">
        <v>90</v>
      </c>
      <c r="E21" s="47">
        <f ca="1">SUMIF('ЖЭУ 3'!$D$5:$AF$6,'Ленина 1'!$C21,'ЖЭУ 3'!$D$12:$AF$12)</f>
        <v>0.19</v>
      </c>
    </row>
    <row r="22" spans="2:8" ht="41.45" customHeight="1" x14ac:dyDescent="0.2">
      <c r="B22" s="44">
        <v>16</v>
      </c>
      <c r="C22" s="45" t="str">
        <f>'ЖЭУ 3'!X5</f>
        <v>Поверка, замена вышедшего из строя оборудования коллективног ОПУ горячего водоснабжения</v>
      </c>
      <c r="D22" s="46" t="s">
        <v>90</v>
      </c>
      <c r="E22" s="47">
        <f ca="1">SUMIF('ЖЭУ 3'!$D$5:$AF$6,'Ленина 1'!$C22,'ЖЭУ 3'!$D$12:$AF$12)</f>
        <v>0</v>
      </c>
      <c r="G22" s="52">
        <f ca="1">SUM(E7:E25)</f>
        <v>38.613999999999997</v>
      </c>
      <c r="H22" s="52">
        <f ca="1">G22-'ЖЭУ 3'!AK12</f>
        <v>0</v>
      </c>
    </row>
    <row r="23" spans="2:8" ht="39.6" customHeight="1" x14ac:dyDescent="0.2">
      <c r="B23" s="44">
        <v>17</v>
      </c>
      <c r="C23" s="45" t="str">
        <f>'ЖЭУ 3'!Y5</f>
        <v>Поверка, замена вышедшего из строя оборудования коллективног ОПУ холодного водоснабжения</v>
      </c>
      <c r="D23" s="46" t="s">
        <v>90</v>
      </c>
      <c r="E23" s="47">
        <f ca="1">SUMIF('ЖЭУ 3'!$D$5:$AF$6,'Ленина 1'!$C23,'ЖЭУ 3'!$D$12:$AF$12)</f>
        <v>0.08</v>
      </c>
    </row>
    <row r="24" spans="2:8" ht="43.15" customHeight="1" x14ac:dyDescent="0.2">
      <c r="B24" s="44">
        <v>18</v>
      </c>
      <c r="C24" s="45" t="str">
        <f>'ЖЭУ 3'!Z5</f>
        <v>Поверка, замена вышедшего из строя оборудования коллективног ОПУ электрической энергии</v>
      </c>
      <c r="D24" s="46" t="s">
        <v>90</v>
      </c>
      <c r="E24" s="47">
        <f ca="1">SUMIF('ЖЭУ 3'!$D$5:$AF$6,'Ленина 1'!$C24,'ЖЭУ 3'!$D$12:$AF$12)</f>
        <v>0.2</v>
      </c>
    </row>
    <row r="25" spans="2:8" ht="31.9" customHeight="1" thickBot="1" x14ac:dyDescent="0.25">
      <c r="B25" s="48">
        <v>19</v>
      </c>
      <c r="C25" s="49" t="str">
        <f>'ЖЭУ 3'!AA5</f>
        <v>Техническое обслуживание систем аудидомофонной связи</v>
      </c>
      <c r="D25" s="50" t="s">
        <v>90</v>
      </c>
      <c r="E25" s="51">
        <f ca="1">SUMIF('ЖЭУ 3'!$D$5:$AF$6,'Ленина 1'!$C25,'ЖЭУ 3'!$D$12:$AF$12)</f>
        <v>0</v>
      </c>
    </row>
    <row r="26" spans="2:8" ht="25.15" customHeight="1" thickBot="1" x14ac:dyDescent="0.25">
      <c r="B26" s="116" t="s">
        <v>91</v>
      </c>
      <c r="C26" s="116"/>
    </row>
    <row r="27" spans="2:8" ht="25.15" customHeight="1" x14ac:dyDescent="0.2">
      <c r="B27" s="113" t="str">
        <f>CONCATENATE($I$5,$I$3)</f>
        <v>Расходы по коммунальным услугам, потребленным на содержание общего иммущества многоквартирного дома№ 3Б ул. Ленина</v>
      </c>
      <c r="C27" s="114"/>
      <c r="D27" s="114"/>
      <c r="E27" s="115"/>
    </row>
    <row r="28" spans="2:8" ht="25.15" customHeight="1" x14ac:dyDescent="0.2">
      <c r="B28" s="44">
        <v>1</v>
      </c>
      <c r="C28" s="45" t="str">
        <f>'ЖЭУ 3'!AB5</f>
        <v>Электрическая энергия, потребляемая при содержании общего имущества в МКД</v>
      </c>
      <c r="D28" s="46" t="s">
        <v>90</v>
      </c>
      <c r="E28" s="47">
        <f ca="1">SUMIF('ЖЭУ 3'!$D$5:$AF$6,'Ленина 1'!$C28,'ЖЭУ 3'!$D$12:$AF$12)</f>
        <v>0.82368634176551858</v>
      </c>
      <c r="G28" s="52"/>
    </row>
    <row r="29" spans="2:8" ht="25.15" customHeight="1" x14ac:dyDescent="0.2">
      <c r="B29" s="44">
        <v>2</v>
      </c>
      <c r="C29" s="45" t="str">
        <f>'ЖЭУ 3'!AC5</f>
        <v>Холодная вода, потребляемая при содержании общего имущества в МКД</v>
      </c>
      <c r="D29" s="46" t="s">
        <v>90</v>
      </c>
      <c r="E29" s="47">
        <f ca="1">SUMIF('ЖЭУ 3'!$D$5:$AF$6,'Ленина 1'!$C29,'ЖЭУ 3'!$D$12:$AF$12)</f>
        <v>2.5239038953202168E-2</v>
      </c>
      <c r="G29" s="52">
        <f ca="1">SUM(E28:E32)</f>
        <v>0.9815552220793039</v>
      </c>
      <c r="H29" s="52">
        <f ca="1">G29-'ЖЭУ 3'!AJ12</f>
        <v>0</v>
      </c>
    </row>
    <row r="30" spans="2:8" ht="25.15" customHeight="1" x14ac:dyDescent="0.2">
      <c r="B30" s="44">
        <v>3</v>
      </c>
      <c r="C30" s="45" t="str">
        <f>'ЖЭУ 3'!AD5</f>
        <v>Холодная вода в составе горячей на содержание общего имущества МКД</v>
      </c>
      <c r="D30" s="46" t="s">
        <v>90</v>
      </c>
      <c r="E30" s="47">
        <f ca="1">SUMIF('ЖЭУ 3'!$D$5:$AF$6,'Ленина 1'!$C30,'ЖЭУ 3'!$D$12:$AF$12)</f>
        <v>8.397154335985263E-2</v>
      </c>
    </row>
    <row r="31" spans="2:8" ht="25.15" customHeight="1" x14ac:dyDescent="0.2">
      <c r="B31" s="44">
        <v>4</v>
      </c>
      <c r="C31" s="45" t="str">
        <f>'ЖЭУ 3'!AE5</f>
        <v>Горячая вода, потребляемая при содержании общего имущества в МКД</v>
      </c>
      <c r="D31" s="46" t="s">
        <v>90</v>
      </c>
      <c r="E31" s="47">
        <f ca="1">SUMIF('ЖЭУ 3'!$D$5:$AF$6,'Ленина 1'!$C31,'ЖЭУ 3'!$D$12:$AF$12)</f>
        <v>0</v>
      </c>
    </row>
    <row r="32" spans="2:8" ht="27.6" customHeight="1" thickBot="1" x14ac:dyDescent="0.25">
      <c r="B32" s="48">
        <v>5</v>
      </c>
      <c r="C32" s="49" t="str">
        <f>'ЖЭУ 3'!AF5</f>
        <v>Водоотведение при содержании общего имущества в МКД</v>
      </c>
      <c r="D32" s="50" t="s">
        <v>90</v>
      </c>
      <c r="E32" s="51">
        <f ca="1">SUMIF('ЖЭУ 3'!$D$5:$AF$6,'Ленина 1'!$C32,'ЖЭУ 3'!$D$12:$AF$12)</f>
        <v>4.8658298000730467E-2</v>
      </c>
    </row>
    <row r="33" spans="2:8" ht="11.45" customHeight="1" x14ac:dyDescent="0.2">
      <c r="B33" s="53"/>
      <c r="C33" s="59"/>
      <c r="D33" s="55"/>
      <c r="E33" s="56"/>
    </row>
    <row r="34" spans="2:8" ht="21.6" customHeight="1" x14ac:dyDescent="0.2">
      <c r="B34" s="116" t="s">
        <v>92</v>
      </c>
      <c r="C34" s="116"/>
      <c r="D34" s="116"/>
      <c r="E34" s="116"/>
      <c r="G34" s="58"/>
    </row>
    <row r="35" spans="2:8" ht="15" customHeight="1" x14ac:dyDescent="0.2">
      <c r="B35" s="116"/>
      <c r="C35" s="116"/>
      <c r="D35" s="116"/>
      <c r="E35" s="116"/>
      <c r="H35" s="52"/>
    </row>
    <row r="36" spans="2:8" x14ac:dyDescent="0.2">
      <c r="B36" s="57"/>
      <c r="C36" s="59"/>
      <c r="D36" s="55"/>
      <c r="E36" s="56"/>
      <c r="G36" s="60"/>
      <c r="H36" s="61"/>
    </row>
    <row r="37" spans="2:8" x14ac:dyDescent="0.2">
      <c r="B37" s="117"/>
      <c r="C37" s="117"/>
      <c r="G37" s="60"/>
      <c r="H37" s="62"/>
    </row>
    <row r="38" spans="2:8" x14ac:dyDescent="0.2">
      <c r="B38" s="118" t="s">
        <v>93</v>
      </c>
      <c r="C38" s="118"/>
      <c r="E38" s="42" t="s">
        <v>94</v>
      </c>
      <c r="H38" s="63"/>
    </row>
  </sheetData>
  <mergeCells count="10">
    <mergeCell ref="B37:C37"/>
    <mergeCell ref="B38:C38"/>
    <mergeCell ref="B4:E4"/>
    <mergeCell ref="B5:B6"/>
    <mergeCell ref="C5:C6"/>
    <mergeCell ref="D5:D6"/>
    <mergeCell ref="E5:E6"/>
    <mergeCell ref="B26:C26"/>
    <mergeCell ref="B27:E27"/>
    <mergeCell ref="B34:E35"/>
  </mergeCells>
  <pageMargins left="0.7" right="0.7" top="0.75" bottom="0.75" header="0.3" footer="0.3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view="pageBreakPreview" zoomScale="75" zoomScaleNormal="100" zoomScaleSheetLayoutView="75" workbookViewId="0">
      <selection activeCell="F1" sqref="F1:F2"/>
    </sheetView>
  </sheetViews>
  <sheetFormatPr defaultColWidth="8.85546875" defaultRowHeight="12.75" x14ac:dyDescent="0.2"/>
  <cols>
    <col min="1" max="1" width="3.42578125" style="41" customWidth="1"/>
    <col min="2" max="2" width="4.85546875" style="41" customWidth="1"/>
    <col min="3" max="3" width="43.7109375" style="41" customWidth="1"/>
    <col min="4" max="4" width="9" style="41" bestFit="1" customWidth="1"/>
    <col min="5" max="5" width="12.5703125" style="42" customWidth="1"/>
    <col min="6" max="16384" width="8.85546875" style="41"/>
  </cols>
  <sheetData>
    <row r="1" spans="2:9" x14ac:dyDescent="0.2">
      <c r="F1" s="43" t="s">
        <v>85</v>
      </c>
    </row>
    <row r="2" spans="2:9" ht="15" x14ac:dyDescent="0.35">
      <c r="F2" s="90" t="s">
        <v>139</v>
      </c>
    </row>
    <row r="3" spans="2:9" ht="13.5" thickBot="1" x14ac:dyDescent="0.25">
      <c r="I3" s="41" t="s">
        <v>102</v>
      </c>
    </row>
    <row r="4" spans="2:9" ht="24" customHeight="1" x14ac:dyDescent="0.2">
      <c r="B4" s="119" t="str">
        <f>CONCATENATE($I$4,$I$3)</f>
        <v>Размер платы на содержание общего имущества многоквартирного дома№ 16 ул. Менделеева</v>
      </c>
      <c r="C4" s="120"/>
      <c r="D4" s="120"/>
      <c r="E4" s="121"/>
      <c r="I4" s="41" t="s">
        <v>96</v>
      </c>
    </row>
    <row r="5" spans="2:9" ht="13.9" customHeight="1" x14ac:dyDescent="0.2">
      <c r="B5" s="122" t="s">
        <v>1</v>
      </c>
      <c r="C5" s="123" t="s">
        <v>87</v>
      </c>
      <c r="D5" s="124" t="s">
        <v>88</v>
      </c>
      <c r="E5" s="125" t="s">
        <v>89</v>
      </c>
      <c r="I5" s="41" t="s">
        <v>97</v>
      </c>
    </row>
    <row r="6" spans="2:9" x14ac:dyDescent="0.2">
      <c r="B6" s="122"/>
      <c r="C6" s="123"/>
      <c r="D6" s="124"/>
      <c r="E6" s="125"/>
    </row>
    <row r="7" spans="2:9" ht="41.45" customHeight="1" x14ac:dyDescent="0.2">
      <c r="B7" s="44">
        <v>1</v>
      </c>
      <c r="C7" s="45" t="str">
        <f>'ЖЭУ 3'!D5</f>
        <v xml:space="preserve">Управление  многоквартирным домом   </v>
      </c>
      <c r="D7" s="46" t="s">
        <v>90</v>
      </c>
      <c r="E7" s="47">
        <f ca="1">SUMIF('ЖЭУ 3'!$D$5:$AF$6,'Ленина 1'!$C7,'ЖЭУ 3'!$D$13:$AF$13)</f>
        <v>5.04</v>
      </c>
    </row>
    <row r="8" spans="2:9" ht="41.45" customHeight="1" x14ac:dyDescent="0.2">
      <c r="B8" s="44">
        <v>2</v>
      </c>
      <c r="C8" s="45" t="str">
        <f>'ЖЭУ 3'!E5</f>
        <v>Уборка и санитарно-гигиеническая очистка 
лестничных клеток</v>
      </c>
      <c r="D8" s="46" t="s">
        <v>90</v>
      </c>
      <c r="E8" s="47">
        <f ca="1">SUMIF('ЖЭУ 3'!$D$5:$AF$6,'Ленина 1'!$C8,'ЖЭУ 3'!$D$13:$AF$13)</f>
        <v>4.76</v>
      </c>
    </row>
    <row r="9" spans="2:9" ht="41.45" customHeight="1" x14ac:dyDescent="0.2">
      <c r="B9" s="44">
        <v>3</v>
      </c>
      <c r="C9" s="45" t="str">
        <f>'ЖЭУ 3'!F5</f>
        <v>Уборка и санитарно-гигиеническая очистка земельного участка и контейнерных площадок</v>
      </c>
      <c r="D9" s="46" t="s">
        <v>90</v>
      </c>
      <c r="E9" s="47">
        <f ca="1">SUMIF('ЖЭУ 3'!$D$5:$AF$6,'Ленина 1'!$C9,'ЖЭУ 3'!$D$13:$AF$13)</f>
        <v>8.27</v>
      </c>
    </row>
    <row r="10" spans="2:9" ht="41.45" customHeight="1" x14ac:dyDescent="0.2">
      <c r="B10" s="44">
        <v>4</v>
      </c>
      <c r="C10" s="45" t="str">
        <f>'ЖЭУ 3'!G5</f>
        <v>Содержание и техническое обслуживание конструктивных элементов</v>
      </c>
      <c r="D10" s="46" t="s">
        <v>90</v>
      </c>
      <c r="E10" s="47">
        <f ca="1">SUMIF('ЖЭУ 3'!$D$5:$AF$6,'Ленина 1'!$C10,'ЖЭУ 3'!$D$13:$AF$13)</f>
        <v>2.11</v>
      </c>
    </row>
    <row r="11" spans="2:9" ht="41.45" customHeight="1" x14ac:dyDescent="0.2">
      <c r="B11" s="44">
        <v>5</v>
      </c>
      <c r="C11" s="45" t="str">
        <f>'ЖЭУ 3'!H5</f>
        <v>Содержание и техническое обслуживание внутридомовых систем холодного и горячего водоснабжения, отопления и канализации</v>
      </c>
      <c r="D11" s="46" t="s">
        <v>90</v>
      </c>
      <c r="E11" s="47">
        <f ca="1">SUMIF('ЖЭУ 3'!$D$5:$AF$6,'Ленина 1'!$C11,'ЖЭУ 3'!$D$13:$AF$13)</f>
        <v>2.87</v>
      </c>
    </row>
    <row r="12" spans="2:9" ht="41.45" customHeight="1" x14ac:dyDescent="0.2">
      <c r="B12" s="44">
        <v>6</v>
      </c>
      <c r="C12" s="45" t="str">
        <f>'ЖЭУ 3'!I5</f>
        <v>Содержание и техническое обслуживание внутридомовых систем электроснабжения</v>
      </c>
      <c r="D12" s="46" t="s">
        <v>90</v>
      </c>
      <c r="E12" s="47">
        <f ca="1">SUMIF('ЖЭУ 3'!$D$5:$AF$6,'Ленина 1'!$C12,'ЖЭУ 3'!$D$13:$AF$13)</f>
        <v>2.4</v>
      </c>
    </row>
    <row r="13" spans="2:9" ht="41.45" customHeight="1" x14ac:dyDescent="0.2">
      <c r="B13" s="44">
        <v>7</v>
      </c>
      <c r="C13" s="45" t="str">
        <f>'ЖЭУ 3'!J5</f>
        <v>Текущий ремонт МКД</v>
      </c>
      <c r="D13" s="46" t="s">
        <v>90</v>
      </c>
      <c r="E13" s="47">
        <f ca="1">SUMIF('ЖЭУ 3'!$D$5:$AF$6,'Ленина 1'!$C13,'ЖЭУ 3'!$D$13:$AF$13)</f>
        <v>9.3400000000000016</v>
      </c>
    </row>
    <row r="14" spans="2:9" ht="41.45" customHeight="1" x14ac:dyDescent="0.2">
      <c r="B14" s="44">
        <v>8</v>
      </c>
      <c r="C14" s="45" t="str">
        <f>'ЖЭУ 3'!P5</f>
        <v>Дератизация, дезинсекция помещений</v>
      </c>
      <c r="D14" s="46" t="s">
        <v>90</v>
      </c>
      <c r="E14" s="47">
        <f ca="1">SUMIF('ЖЭУ 3'!$D$5:$AF$6,'Ленина 1'!$C14,'ЖЭУ 3'!$D$13:$AF$13)</f>
        <v>0.12</v>
      </c>
    </row>
    <row r="15" spans="2:9" ht="41.45" customHeight="1" x14ac:dyDescent="0.2">
      <c r="B15" s="44">
        <v>9</v>
      </c>
      <c r="C15" s="45" t="str">
        <f>'ЖЭУ 3'!Q5</f>
        <v>Благоустройство придомовой территории</v>
      </c>
      <c r="D15" s="46" t="s">
        <v>90</v>
      </c>
      <c r="E15" s="47">
        <f ca="1">SUMIF('ЖЭУ 3'!$D$5:$AF$6,'Ленина 1'!$C15,'ЖЭУ 3'!$D$13:$AF$13)</f>
        <v>0.37</v>
      </c>
    </row>
    <row r="16" spans="2:9" ht="41.45" customHeight="1" x14ac:dyDescent="0.2">
      <c r="B16" s="44">
        <v>10</v>
      </c>
      <c r="C16" s="45" t="str">
        <f>'ЖЭУ 3'!R5</f>
        <v>Сбор и вывоз твердых коммунальных отходов</v>
      </c>
      <c r="D16" s="46" t="s">
        <v>90</v>
      </c>
      <c r="E16" s="47">
        <f ca="1">SUMIF('ЖЭУ 3'!$D$5:$AF$6,'Ленина 1'!$C16,'ЖЭУ 3'!$D$13:$AF$13)</f>
        <v>1.37</v>
      </c>
    </row>
    <row r="17" spans="2:8" ht="41.45" customHeight="1" x14ac:dyDescent="0.2">
      <c r="B17" s="44">
        <v>11</v>
      </c>
      <c r="C17" s="45" t="str">
        <f>'ЖЭУ 3'!S5</f>
        <v>Механизированная уборка территорий от снега</v>
      </c>
      <c r="D17" s="46" t="s">
        <v>90</v>
      </c>
      <c r="E17" s="47">
        <f ca="1">SUMIF('ЖЭУ 3'!$D$5:$AF$6,'Ленина 1'!$C17,'ЖЭУ 3'!$D$13:$AF$13)</f>
        <v>1.05</v>
      </c>
    </row>
    <row r="18" spans="2:8" ht="41.45" customHeight="1" x14ac:dyDescent="0.2">
      <c r="B18" s="44">
        <v>12</v>
      </c>
      <c r="C18" s="45" t="str">
        <f>'ЖЭУ 3'!T5</f>
        <v>Содержание, техническое обслуживание КОДПУ тепловой энергии на отопление</v>
      </c>
      <c r="D18" s="46" t="s">
        <v>90</v>
      </c>
      <c r="E18" s="47">
        <f ca="1">SUMIF('ЖЭУ 3'!$D$5:$AF$6,'Ленина 1'!$C18,'ЖЭУ 3'!$D$13:$AF$13)</f>
        <v>0.37</v>
      </c>
    </row>
    <row r="19" spans="2:8" ht="41.45" customHeight="1" x14ac:dyDescent="0.2">
      <c r="B19" s="44">
        <v>13</v>
      </c>
      <c r="C19" s="45" t="str">
        <f>'ЖЭУ 3'!U5</f>
        <v>Содержание, техническое обслуживание КОДПУ горячего водоснабжения</v>
      </c>
      <c r="D19" s="46" t="s">
        <v>90</v>
      </c>
      <c r="E19" s="47">
        <f ca="1">SUMIF('ЖЭУ 3'!$D$5:$AF$6,'Ленина 1'!$C19,'ЖЭУ 3'!$D$13:$AF$13)</f>
        <v>0</v>
      </c>
    </row>
    <row r="20" spans="2:8" ht="41.45" customHeight="1" x14ac:dyDescent="0.2">
      <c r="B20" s="44">
        <v>14</v>
      </c>
      <c r="C20" s="45" t="str">
        <f>'ЖЭУ 3'!V5</f>
        <v>Содержание, техническое обслуживание КОДПУ холодного водоснабжения</v>
      </c>
      <c r="D20" s="46" t="s">
        <v>90</v>
      </c>
      <c r="E20" s="47">
        <f ca="1">SUMIF('ЖЭУ 3'!$D$5:$AF$6,'Ленина 1'!$C20,'ЖЭУ 3'!$D$13:$AF$13)</f>
        <v>0.27</v>
      </c>
    </row>
    <row r="21" spans="2:8" ht="41.45" customHeight="1" x14ac:dyDescent="0.2">
      <c r="B21" s="44">
        <v>15</v>
      </c>
      <c r="C21" s="45" t="str">
        <f>'ЖЭУ 3'!W5</f>
        <v>Поверка, замена вышедшего из строя оборудования коллективног ОПУ тепловой энергии на отопление</v>
      </c>
      <c r="D21" s="46" t="s">
        <v>90</v>
      </c>
      <c r="E21" s="47">
        <f ca="1">SUMIF('ЖЭУ 3'!$D$5:$AF$6,'Ленина 1'!$C21,'ЖЭУ 3'!$D$13:$AF$13)</f>
        <v>0.26</v>
      </c>
    </row>
    <row r="22" spans="2:8" ht="41.45" customHeight="1" x14ac:dyDescent="0.2">
      <c r="B22" s="44">
        <v>16</v>
      </c>
      <c r="C22" s="45" t="str">
        <f>'ЖЭУ 3'!X5</f>
        <v>Поверка, замена вышедшего из строя оборудования коллективног ОПУ горячего водоснабжения</v>
      </c>
      <c r="D22" s="46" t="s">
        <v>90</v>
      </c>
      <c r="E22" s="47">
        <f ca="1">SUMIF('ЖЭУ 3'!$D$5:$AF$6,'Ленина 1'!$C22,'ЖЭУ 3'!$D$13:$AF$13)</f>
        <v>0</v>
      </c>
      <c r="G22" s="52">
        <f ca="1">SUM(E7:E25)</f>
        <v>38.97999999999999</v>
      </c>
      <c r="H22" s="52">
        <f ca="1">G22-'ЖЭУ 3'!AK13</f>
        <v>0</v>
      </c>
    </row>
    <row r="23" spans="2:8" ht="37.15" customHeight="1" x14ac:dyDescent="0.2">
      <c r="B23" s="44">
        <v>17</v>
      </c>
      <c r="C23" s="45" t="str">
        <f>'ЖЭУ 3'!Y5</f>
        <v>Поверка, замена вышедшего из строя оборудования коллективног ОПУ холодного водоснабжения</v>
      </c>
      <c r="D23" s="46" t="s">
        <v>90</v>
      </c>
      <c r="E23" s="47">
        <f ca="1">SUMIF('ЖЭУ 3'!$D$5:$AF$6,'Ленина 1'!$C23,'ЖЭУ 3'!$D$13:$AF$13)</f>
        <v>0.11</v>
      </c>
    </row>
    <row r="24" spans="2:8" ht="43.15" customHeight="1" x14ac:dyDescent="0.2">
      <c r="B24" s="44">
        <v>18</v>
      </c>
      <c r="C24" s="45" t="str">
        <f>'ЖЭУ 3'!Z5</f>
        <v>Поверка, замена вышедшего из строя оборудования коллективног ОПУ электрической энергии</v>
      </c>
      <c r="D24" s="46" t="s">
        <v>90</v>
      </c>
      <c r="E24" s="47">
        <f ca="1">SUMIF('ЖЭУ 3'!$D$5:$AF$6,'Ленина 1'!$C24,'ЖЭУ 3'!$D$13:$AF$13)</f>
        <v>0.27</v>
      </c>
    </row>
    <row r="25" spans="2:8" ht="31.9" customHeight="1" thickBot="1" x14ac:dyDescent="0.25">
      <c r="B25" s="48">
        <v>19</v>
      </c>
      <c r="C25" s="49" t="str">
        <f>'ЖЭУ 3'!AA5</f>
        <v>Техническое обслуживание систем аудидомофонной связи</v>
      </c>
      <c r="D25" s="50" t="s">
        <v>90</v>
      </c>
      <c r="E25" s="51">
        <f ca="1">SUMIF('ЖЭУ 3'!$D$5:$AF$6,'Ленина 1'!$C25,'ЖЭУ 3'!$D$13:$AF$13)</f>
        <v>0</v>
      </c>
    </row>
    <row r="26" spans="2:8" ht="11.45" customHeight="1" thickBot="1" x14ac:dyDescent="0.25">
      <c r="B26" s="116" t="s">
        <v>91</v>
      </c>
      <c r="C26" s="116"/>
    </row>
    <row r="27" spans="2:8" ht="25.15" customHeight="1" x14ac:dyDescent="0.2">
      <c r="B27" s="113" t="str">
        <f>CONCATENATE($I$5,$I$3)</f>
        <v>Расходы по коммунальным услугам, потребленным на содержание общего иммущества многоквартирного дома№ 16 ул. Менделеева</v>
      </c>
      <c r="C27" s="114"/>
      <c r="D27" s="114"/>
      <c r="E27" s="115"/>
    </row>
    <row r="28" spans="2:8" ht="25.15" customHeight="1" x14ac:dyDescent="0.2">
      <c r="B28" s="44">
        <v>1</v>
      </c>
      <c r="C28" s="45" t="str">
        <f>'ЖЭУ 3'!AB5</f>
        <v>Электрическая энергия, потребляемая при содержании общего имущества в МКД</v>
      </c>
      <c r="D28" s="46" t="s">
        <v>90</v>
      </c>
      <c r="E28" s="47">
        <f ca="1">SUMIF('ЖЭУ 3'!$D$5:$AF$6,'Ленина 1'!$C28,'ЖЭУ 3'!$D$13:$AF$13)</f>
        <v>1.1333960342398959</v>
      </c>
      <c r="G28" s="52"/>
    </row>
    <row r="29" spans="2:8" ht="25.15" customHeight="1" x14ac:dyDescent="0.2">
      <c r="B29" s="44">
        <v>2</v>
      </c>
      <c r="C29" s="45" t="str">
        <f>'ЖЭУ 3'!AC5</f>
        <v>Холодная вода, потребляемая при содержании общего имущества в МКД</v>
      </c>
      <c r="D29" s="46" t="s">
        <v>90</v>
      </c>
      <c r="E29" s="47">
        <f ca="1">SUMIF('ЖЭУ 3'!$D$5:$AF$6,'Ленина 1'!$C29,'ЖЭУ 3'!$D$13:$AF$13)</f>
        <v>0.17614278470040087</v>
      </c>
      <c r="G29" s="52">
        <f ca="1">SUM(E28:E32)</f>
        <v>2.2351600216708198</v>
      </c>
      <c r="H29" s="52">
        <f ca="1">G29-'ЖЭУ 3'!AJ13</f>
        <v>0</v>
      </c>
    </row>
    <row r="30" spans="2:8" ht="28.9" customHeight="1" x14ac:dyDescent="0.2">
      <c r="B30" s="44">
        <v>3</v>
      </c>
      <c r="C30" s="45" t="str">
        <f>'ЖЭУ 3'!AD5</f>
        <v>Холодная вода в составе горячей на содержание общего имущества МКД</v>
      </c>
      <c r="D30" s="46" t="s">
        <v>90</v>
      </c>
      <c r="E30" s="47">
        <f ca="1">SUMIF('ЖЭУ 3'!$D$5:$AF$6,'Ленина 1'!$C30,'ЖЭУ 3'!$D$13:$AF$13)</f>
        <v>0.58603584353667781</v>
      </c>
    </row>
    <row r="31" spans="2:8" ht="26.45" customHeight="1" x14ac:dyDescent="0.2">
      <c r="B31" s="44">
        <v>4</v>
      </c>
      <c r="C31" s="45" t="str">
        <f>'ЖЭУ 3'!AE5</f>
        <v>Горячая вода, потребляемая при содержании общего имущества в МКД</v>
      </c>
      <c r="D31" s="46" t="s">
        <v>90</v>
      </c>
      <c r="E31" s="47">
        <f ca="1">SUMIF('ЖЭУ 3'!$D$5:$AF$6,'Ленина 1'!$C31,'ЖЭУ 3'!$D$13:$AF$13)</f>
        <v>0</v>
      </c>
    </row>
    <row r="32" spans="2:8" ht="35.450000000000003" customHeight="1" thickBot="1" x14ac:dyDescent="0.25">
      <c r="B32" s="48">
        <v>5</v>
      </c>
      <c r="C32" s="49" t="str">
        <f>'ЖЭУ 3'!AF5</f>
        <v>Водоотведение при содержании общего имущества в МКД</v>
      </c>
      <c r="D32" s="50" t="s">
        <v>90</v>
      </c>
      <c r="E32" s="51">
        <f ca="1">SUMIF('ЖЭУ 3'!$D$5:$AF$6,'Ленина 1'!$C32,'ЖЭУ 3'!$D$13:$AF$13)</f>
        <v>0.33958535919384542</v>
      </c>
    </row>
    <row r="33" spans="2:8" ht="11.45" customHeight="1" x14ac:dyDescent="0.2">
      <c r="B33" s="53"/>
      <c r="C33" s="59"/>
      <c r="D33" s="55"/>
      <c r="E33" s="56"/>
    </row>
    <row r="34" spans="2:8" ht="21.6" customHeight="1" x14ac:dyDescent="0.2">
      <c r="B34" s="116" t="s">
        <v>92</v>
      </c>
      <c r="C34" s="116"/>
      <c r="D34" s="116"/>
      <c r="E34" s="116"/>
      <c r="G34" s="58"/>
    </row>
    <row r="35" spans="2:8" ht="15" customHeight="1" x14ac:dyDescent="0.2">
      <c r="B35" s="116"/>
      <c r="C35" s="116"/>
      <c r="D35" s="116"/>
      <c r="E35" s="116"/>
      <c r="H35" s="52"/>
    </row>
    <row r="36" spans="2:8" x14ac:dyDescent="0.2">
      <c r="B36" s="57"/>
      <c r="C36" s="59"/>
      <c r="D36" s="55"/>
      <c r="E36" s="56"/>
      <c r="G36" s="60"/>
      <c r="H36" s="61"/>
    </row>
    <row r="37" spans="2:8" x14ac:dyDescent="0.2">
      <c r="B37" s="117"/>
      <c r="C37" s="117"/>
      <c r="G37" s="60"/>
      <c r="H37" s="62"/>
    </row>
    <row r="38" spans="2:8" x14ac:dyDescent="0.2">
      <c r="B38" s="118" t="s">
        <v>93</v>
      </c>
      <c r="C38" s="118"/>
      <c r="E38" s="42" t="s">
        <v>94</v>
      </c>
      <c r="H38" s="63"/>
    </row>
  </sheetData>
  <mergeCells count="10">
    <mergeCell ref="B37:C37"/>
    <mergeCell ref="B38:C38"/>
    <mergeCell ref="B4:E4"/>
    <mergeCell ref="B5:B6"/>
    <mergeCell ref="C5:C6"/>
    <mergeCell ref="D5:D6"/>
    <mergeCell ref="E5:E6"/>
    <mergeCell ref="B26:C26"/>
    <mergeCell ref="B27:E27"/>
    <mergeCell ref="B34:E35"/>
  </mergeCells>
  <pageMargins left="0.7" right="0.7" top="0.75" bottom="0.75" header="0.3" footer="0.3"/>
  <pageSetup paperSize="9" scale="6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view="pageBreakPreview" zoomScale="75" zoomScaleNormal="100" zoomScaleSheetLayoutView="75" workbookViewId="0">
      <selection activeCell="F1" sqref="F1:F2"/>
    </sheetView>
  </sheetViews>
  <sheetFormatPr defaultColWidth="8.85546875" defaultRowHeight="12.75" x14ac:dyDescent="0.2"/>
  <cols>
    <col min="1" max="1" width="3.42578125" style="41" customWidth="1"/>
    <col min="2" max="2" width="4.85546875" style="41" customWidth="1"/>
    <col min="3" max="3" width="43.7109375" style="41" customWidth="1"/>
    <col min="4" max="4" width="9" style="41" bestFit="1" customWidth="1"/>
    <col min="5" max="5" width="12.5703125" style="42" customWidth="1"/>
    <col min="6" max="16384" width="8.85546875" style="41"/>
  </cols>
  <sheetData>
    <row r="1" spans="2:9" x14ac:dyDescent="0.2">
      <c r="F1" s="43" t="s">
        <v>85</v>
      </c>
    </row>
    <row r="2" spans="2:9" ht="15" x14ac:dyDescent="0.35">
      <c r="F2" s="90" t="s">
        <v>139</v>
      </c>
    </row>
    <row r="3" spans="2:9" ht="13.5" thickBot="1" x14ac:dyDescent="0.25">
      <c r="I3" s="41" t="s">
        <v>103</v>
      </c>
    </row>
    <row r="4" spans="2:9" ht="24" customHeight="1" x14ac:dyDescent="0.2">
      <c r="B4" s="119" t="str">
        <f>CONCATENATE($I$4,$I$3)</f>
        <v>Размер платы на содержание общего имущества многоквартирного дома№ 16А ул. Менделеева</v>
      </c>
      <c r="C4" s="120"/>
      <c r="D4" s="120"/>
      <c r="E4" s="121"/>
      <c r="I4" s="41" t="s">
        <v>96</v>
      </c>
    </row>
    <row r="5" spans="2:9" ht="13.9" customHeight="1" x14ac:dyDescent="0.2">
      <c r="B5" s="122" t="s">
        <v>1</v>
      </c>
      <c r="C5" s="123" t="s">
        <v>87</v>
      </c>
      <c r="D5" s="124" t="s">
        <v>88</v>
      </c>
      <c r="E5" s="125" t="s">
        <v>89</v>
      </c>
      <c r="I5" s="41" t="s">
        <v>97</v>
      </c>
    </row>
    <row r="6" spans="2:9" x14ac:dyDescent="0.2">
      <c r="B6" s="122"/>
      <c r="C6" s="123"/>
      <c r="D6" s="124"/>
      <c r="E6" s="125"/>
    </row>
    <row r="7" spans="2:9" ht="41.45" customHeight="1" x14ac:dyDescent="0.2">
      <c r="B7" s="44">
        <v>1</v>
      </c>
      <c r="C7" s="45" t="str">
        <f>'ЖЭУ 3'!D5</f>
        <v xml:space="preserve">Управление  многоквартирным домом   </v>
      </c>
      <c r="D7" s="46" t="s">
        <v>90</v>
      </c>
      <c r="E7" s="47">
        <f ca="1">SUMIF('ЖЭУ 3'!$D$5:$AF$6,'Ленина 1'!$C7,'ЖЭУ 3'!$D$14:$AF$14)</f>
        <v>5.04</v>
      </c>
    </row>
    <row r="8" spans="2:9" ht="41.45" customHeight="1" x14ac:dyDescent="0.2">
      <c r="B8" s="44">
        <v>2</v>
      </c>
      <c r="C8" s="45" t="str">
        <f>'ЖЭУ 3'!E5</f>
        <v>Уборка и санитарно-гигиеническая очистка 
лестничных клеток</v>
      </c>
      <c r="D8" s="46" t="s">
        <v>90</v>
      </c>
      <c r="E8" s="47">
        <f ca="1">SUMIF('ЖЭУ 3'!$D$5:$AF$6,'Ленина 1'!$C8,'ЖЭУ 3'!$D$14:$AF$14)</f>
        <v>4.7699999999999996</v>
      </c>
    </row>
    <row r="9" spans="2:9" ht="41.45" customHeight="1" x14ac:dyDescent="0.2">
      <c r="B9" s="44">
        <v>3</v>
      </c>
      <c r="C9" s="45" t="str">
        <f>'ЖЭУ 3'!F5</f>
        <v>Уборка и санитарно-гигиеническая очистка земельного участка и контейнерных площадок</v>
      </c>
      <c r="D9" s="46" t="s">
        <v>90</v>
      </c>
      <c r="E9" s="47">
        <f ca="1">SUMIF('ЖЭУ 3'!$D$5:$AF$6,'Ленина 1'!$C9,'ЖЭУ 3'!$D$14:$AF$14)</f>
        <v>8.16</v>
      </c>
    </row>
    <row r="10" spans="2:9" ht="41.45" customHeight="1" x14ac:dyDescent="0.2">
      <c r="B10" s="44">
        <v>4</v>
      </c>
      <c r="C10" s="45" t="str">
        <f>'ЖЭУ 3'!G5</f>
        <v>Содержание и техническое обслуживание конструктивных элементов</v>
      </c>
      <c r="D10" s="46" t="s">
        <v>90</v>
      </c>
      <c r="E10" s="47">
        <f ca="1">SUMIF('ЖЭУ 3'!$D$5:$AF$6,'Ленина 1'!$C10,'ЖЭУ 3'!$D$14:$AF$14)</f>
        <v>2.1</v>
      </c>
    </row>
    <row r="11" spans="2:9" ht="41.45" customHeight="1" x14ac:dyDescent="0.2">
      <c r="B11" s="44">
        <v>5</v>
      </c>
      <c r="C11" s="45" t="str">
        <f>'ЖЭУ 3'!H5</f>
        <v>Содержание и техническое обслуживание внутридомовых систем холодного и горячего водоснабжения, отопления и канализации</v>
      </c>
      <c r="D11" s="46" t="s">
        <v>90</v>
      </c>
      <c r="E11" s="47">
        <f ca="1">SUMIF('ЖЭУ 3'!$D$5:$AF$6,'Ленина 1'!$C11,'ЖЭУ 3'!$D$14:$AF$14)</f>
        <v>2.87</v>
      </c>
    </row>
    <row r="12" spans="2:9" ht="41.45" customHeight="1" x14ac:dyDescent="0.2">
      <c r="B12" s="44">
        <v>6</v>
      </c>
      <c r="C12" s="45" t="str">
        <f>'ЖЭУ 3'!I5</f>
        <v>Содержание и техническое обслуживание внутридомовых систем электроснабжения</v>
      </c>
      <c r="D12" s="46" t="s">
        <v>90</v>
      </c>
      <c r="E12" s="47">
        <f ca="1">SUMIF('ЖЭУ 3'!$D$5:$AF$6,'Ленина 1'!$C12,'ЖЭУ 3'!$D$14:$AF$14)</f>
        <v>2.4</v>
      </c>
    </row>
    <row r="13" spans="2:9" ht="41.45" customHeight="1" x14ac:dyDescent="0.2">
      <c r="B13" s="44">
        <v>7</v>
      </c>
      <c r="C13" s="45" t="str">
        <f>'ЖЭУ 3'!J5</f>
        <v>Текущий ремонт МКД</v>
      </c>
      <c r="D13" s="46" t="s">
        <v>90</v>
      </c>
      <c r="E13" s="47">
        <f ca="1">SUMIF('ЖЭУ 3'!$D$5:$AF$6,'Ленина 1'!$C13,'ЖЭУ 3'!$D$14:$AF$14)</f>
        <v>9.64</v>
      </c>
    </row>
    <row r="14" spans="2:9" ht="41.45" customHeight="1" x14ac:dyDescent="0.2">
      <c r="B14" s="44">
        <v>8</v>
      </c>
      <c r="C14" s="45" t="str">
        <f>'ЖЭУ 3'!P5</f>
        <v>Дератизация, дезинсекция помещений</v>
      </c>
      <c r="D14" s="46" t="s">
        <v>90</v>
      </c>
      <c r="E14" s="47">
        <f ca="1">SUMIF('ЖЭУ 3'!$D$5:$AF$6,'Ленина 1'!$C14,'ЖЭУ 3'!$D$14:$AF$14)</f>
        <v>0.11</v>
      </c>
    </row>
    <row r="15" spans="2:9" ht="41.45" customHeight="1" x14ac:dyDescent="0.2">
      <c r="B15" s="44">
        <v>9</v>
      </c>
      <c r="C15" s="45" t="str">
        <f>'ЖЭУ 3'!Q5</f>
        <v>Благоустройство придомовой территории</v>
      </c>
      <c r="D15" s="46" t="s">
        <v>90</v>
      </c>
      <c r="E15" s="47">
        <f ca="1">SUMIF('ЖЭУ 3'!$D$5:$AF$6,'Ленина 1'!$C15,'ЖЭУ 3'!$D$14:$AF$14)</f>
        <v>0.37</v>
      </c>
    </row>
    <row r="16" spans="2:9" ht="41.45" customHeight="1" x14ac:dyDescent="0.2">
      <c r="B16" s="44">
        <v>10</v>
      </c>
      <c r="C16" s="45" t="str">
        <f>'ЖЭУ 3'!R5</f>
        <v>Сбор и вывоз твердых коммунальных отходов</v>
      </c>
      <c r="D16" s="46" t="s">
        <v>90</v>
      </c>
      <c r="E16" s="47">
        <f ca="1">SUMIF('ЖЭУ 3'!$D$5:$AF$6,'Ленина 1'!$C16,'ЖЭУ 3'!$D$14:$AF$14)</f>
        <v>1.29</v>
      </c>
    </row>
    <row r="17" spans="2:8" ht="41.45" customHeight="1" x14ac:dyDescent="0.2">
      <c r="B17" s="44">
        <v>11</v>
      </c>
      <c r="C17" s="45" t="str">
        <f>'ЖЭУ 3'!S5</f>
        <v>Механизированная уборка территорий от снега</v>
      </c>
      <c r="D17" s="46" t="s">
        <v>90</v>
      </c>
      <c r="E17" s="47">
        <f ca="1">SUMIF('ЖЭУ 3'!$D$5:$AF$6,'Ленина 1'!$C17,'ЖЭУ 3'!$D$14:$AF$14)</f>
        <v>1</v>
      </c>
    </row>
    <row r="18" spans="2:8" ht="41.45" customHeight="1" x14ac:dyDescent="0.2">
      <c r="B18" s="44">
        <v>12</v>
      </c>
      <c r="C18" s="45" t="str">
        <f>'ЖЭУ 3'!T5</f>
        <v>Содержание, техническое обслуживание КОДПУ тепловой энергии на отопление</v>
      </c>
      <c r="D18" s="46" t="s">
        <v>90</v>
      </c>
      <c r="E18" s="47">
        <f ca="1">SUMIF('ЖЭУ 3'!$D$5:$AF$6,'Ленина 1'!$C18,'ЖЭУ 3'!$D$14:$AF$14)</f>
        <v>0.37</v>
      </c>
    </row>
    <row r="19" spans="2:8" ht="41.45" customHeight="1" x14ac:dyDescent="0.2">
      <c r="B19" s="44">
        <v>13</v>
      </c>
      <c r="C19" s="45" t="str">
        <f>'ЖЭУ 3'!U5</f>
        <v>Содержание, техническое обслуживание КОДПУ горячего водоснабжения</v>
      </c>
      <c r="D19" s="46" t="s">
        <v>90</v>
      </c>
      <c r="E19" s="47">
        <f ca="1">SUMIF('ЖЭУ 3'!$D$5:$AF$6,'Ленина 1'!$C19,'ЖЭУ 3'!$D$14:$AF$14)</f>
        <v>0</v>
      </c>
    </row>
    <row r="20" spans="2:8" ht="41.45" customHeight="1" x14ac:dyDescent="0.2">
      <c r="B20" s="44">
        <v>14</v>
      </c>
      <c r="C20" s="45" t="str">
        <f>'ЖЭУ 3'!V5</f>
        <v>Содержание, техническое обслуживание КОДПУ холодного водоснабжения</v>
      </c>
      <c r="D20" s="46" t="s">
        <v>90</v>
      </c>
      <c r="E20" s="47">
        <f ca="1">SUMIF('ЖЭУ 3'!$D$5:$AF$6,'Ленина 1'!$C20,'ЖЭУ 3'!$D$14:$AF$14)</f>
        <v>0.14000000000000001</v>
      </c>
    </row>
    <row r="21" spans="2:8" ht="41.45" customHeight="1" x14ac:dyDescent="0.2">
      <c r="B21" s="44">
        <v>15</v>
      </c>
      <c r="C21" s="45" t="str">
        <f>'ЖЭУ 3'!W5</f>
        <v>Поверка, замена вышедшего из строя оборудования коллективног ОПУ тепловой энергии на отопление</v>
      </c>
      <c r="D21" s="46" t="s">
        <v>90</v>
      </c>
      <c r="E21" s="47">
        <f ca="1">SUMIF('ЖЭУ 3'!$D$5:$AF$6,'Ленина 1'!$C21,'ЖЭУ 3'!$D$14:$AF$14)</f>
        <v>0.21</v>
      </c>
    </row>
    <row r="22" spans="2:8" ht="41.45" customHeight="1" x14ac:dyDescent="0.2">
      <c r="B22" s="44">
        <v>16</v>
      </c>
      <c r="C22" s="45" t="str">
        <f>'ЖЭУ 3'!X5</f>
        <v>Поверка, замена вышедшего из строя оборудования коллективног ОПУ горячего водоснабжения</v>
      </c>
      <c r="D22" s="46" t="s">
        <v>90</v>
      </c>
      <c r="E22" s="47">
        <f ca="1">SUMIF('ЖЭУ 3'!$D$5:$AF$6,'Ленина 1'!$C22,'ЖЭУ 3'!$D$14:$AF$14)</f>
        <v>0.19</v>
      </c>
      <c r="G22" s="52">
        <f ca="1">SUM(E7:E25)</f>
        <v>38.94</v>
      </c>
      <c r="H22" s="52">
        <f ca="1">G22-'ЖЭУ 3'!AK14</f>
        <v>0</v>
      </c>
    </row>
    <row r="23" spans="2:8" ht="40.15" customHeight="1" x14ac:dyDescent="0.2">
      <c r="B23" s="44">
        <v>17</v>
      </c>
      <c r="C23" s="45" t="str">
        <f>'ЖЭУ 3'!Y5</f>
        <v>Поверка, замена вышедшего из строя оборудования коллективног ОПУ холодного водоснабжения</v>
      </c>
      <c r="D23" s="46" t="s">
        <v>90</v>
      </c>
      <c r="E23" s="47">
        <f ca="1">SUMIF('ЖЭУ 3'!$D$5:$AF$6,'Ленина 1'!$C23,'ЖЭУ 3'!$D$14:$AF$14)</f>
        <v>0.11</v>
      </c>
    </row>
    <row r="24" spans="2:8" ht="43.15" customHeight="1" x14ac:dyDescent="0.2">
      <c r="B24" s="44">
        <v>18</v>
      </c>
      <c r="C24" s="45" t="str">
        <f>'ЖЭУ 3'!Z5</f>
        <v>Поверка, замена вышедшего из строя оборудования коллективног ОПУ электрической энергии</v>
      </c>
      <c r="D24" s="46" t="s">
        <v>90</v>
      </c>
      <c r="E24" s="47">
        <f ca="1">SUMIF('ЖЭУ 3'!$D$5:$AF$6,'Ленина 1'!$C24,'ЖЭУ 3'!$D$14:$AF$14)</f>
        <v>0.17</v>
      </c>
    </row>
    <row r="25" spans="2:8" ht="37.15" customHeight="1" thickBot="1" x14ac:dyDescent="0.25">
      <c r="B25" s="48">
        <v>19</v>
      </c>
      <c r="C25" s="49" t="str">
        <f>'ЖЭУ 3'!AA5</f>
        <v>Техническое обслуживание систем аудидомофонной связи</v>
      </c>
      <c r="D25" s="50" t="s">
        <v>90</v>
      </c>
      <c r="E25" s="51">
        <f ca="1">SUMIF('ЖЭУ 3'!$D$5:$AF$6,'Ленина 1'!$C25,'ЖЭУ 3'!$D$14:$AF$14)</f>
        <v>0</v>
      </c>
    </row>
    <row r="26" spans="2:8" ht="10.9" customHeight="1" thickBot="1" x14ac:dyDescent="0.25">
      <c r="B26" s="116" t="s">
        <v>91</v>
      </c>
      <c r="C26" s="116"/>
    </row>
    <row r="27" spans="2:8" ht="25.15" customHeight="1" x14ac:dyDescent="0.2">
      <c r="B27" s="113" t="str">
        <f>CONCATENATE($I$5,$I$3)</f>
        <v>Расходы по коммунальным услугам, потребленным на содержание общего иммущества многоквартирного дома№ 16А ул. Менделеева</v>
      </c>
      <c r="C27" s="114"/>
      <c r="D27" s="114"/>
      <c r="E27" s="115"/>
    </row>
    <row r="28" spans="2:8" ht="25.15" customHeight="1" x14ac:dyDescent="0.2">
      <c r="B28" s="44">
        <v>1</v>
      </c>
      <c r="C28" s="45" t="str">
        <f>'ЖЭУ 3'!AB5</f>
        <v>Электрическая энергия, потребляемая при содержании общего имущества в МКД</v>
      </c>
      <c r="D28" s="46" t="s">
        <v>90</v>
      </c>
      <c r="E28" s="47">
        <f ca="1">SUMIF('ЖЭУ 3'!$D$5:$AF$6,'Ленина 1'!$C28,'ЖЭУ 3'!$D$14:$AF$14)</f>
        <v>1.0891722565939432</v>
      </c>
      <c r="G28" s="52"/>
    </row>
    <row r="29" spans="2:8" ht="25.15" customHeight="1" x14ac:dyDescent="0.2">
      <c r="B29" s="44">
        <v>2</v>
      </c>
      <c r="C29" s="45" t="str">
        <f>'ЖЭУ 3'!AC5</f>
        <v>Холодная вода, потребляемая при содержании общего имущества в МКД</v>
      </c>
      <c r="D29" s="46" t="s">
        <v>90</v>
      </c>
      <c r="E29" s="47">
        <f ca="1">SUMIF('ЖЭУ 3'!$D$5:$AF$6,'Ленина 1'!$C29,'ЖЭУ 3'!$D$14:$AF$14)</f>
        <v>0.17512200586128296</v>
      </c>
      <c r="G29" s="52">
        <f ca="1">SUM(E28:E32)</f>
        <v>2.1845513253012045</v>
      </c>
      <c r="H29" s="52">
        <f ca="1">G29-'ЖЭУ 3'!AJ14</f>
        <v>0</v>
      </c>
    </row>
    <row r="30" spans="2:8" ht="27.6" customHeight="1" x14ac:dyDescent="0.2">
      <c r="B30" s="44">
        <v>3</v>
      </c>
      <c r="C30" s="45" t="str">
        <f>'ЖЭУ 3'!AD5</f>
        <v>Холодная вода в составе горячей на содержание общего имущества МКД</v>
      </c>
      <c r="D30" s="46" t="s">
        <v>90</v>
      </c>
      <c r="E30" s="47">
        <f ca="1">SUMIF('ЖЭУ 3'!$D$5:$AF$6,'Ленина 1'!$C30,'ЖЭУ 3'!$D$14:$AF$14)</f>
        <v>0.58263966134809497</v>
      </c>
    </row>
    <row r="31" spans="2:8" ht="25.15" customHeight="1" x14ac:dyDescent="0.2">
      <c r="B31" s="44">
        <v>4</v>
      </c>
      <c r="C31" s="45" t="str">
        <f>'ЖЭУ 3'!AE5</f>
        <v>Горячая вода, потребляемая при содержании общего имущества в МКД</v>
      </c>
      <c r="D31" s="46" t="s">
        <v>90</v>
      </c>
      <c r="E31" s="47">
        <f ca="1">SUMIF('ЖЭУ 3'!$D$5:$AF$6,'Ленина 1'!$C31,'ЖЭУ 3'!$D$14:$AF$14)</f>
        <v>0</v>
      </c>
    </row>
    <row r="32" spans="2:8" ht="35.450000000000003" customHeight="1" thickBot="1" x14ac:dyDescent="0.25">
      <c r="B32" s="48">
        <v>5</v>
      </c>
      <c r="C32" s="49" t="str">
        <f>'ЖЭУ 3'!AF5</f>
        <v>Водоотведение при содержании общего имущества в МКД</v>
      </c>
      <c r="D32" s="50" t="s">
        <v>90</v>
      </c>
      <c r="E32" s="51">
        <f ca="1">SUMIF('ЖЭУ 3'!$D$5:$AF$6,'Ленина 1'!$C32,'ЖЭУ 3'!$D$14:$AF$14)</f>
        <v>0.33761740149788338</v>
      </c>
    </row>
    <row r="33" spans="2:8" ht="11.45" customHeight="1" x14ac:dyDescent="0.2">
      <c r="B33" s="53"/>
      <c r="C33" s="59"/>
      <c r="D33" s="55"/>
      <c r="E33" s="56"/>
    </row>
    <row r="34" spans="2:8" ht="21.6" customHeight="1" x14ac:dyDescent="0.2">
      <c r="B34" s="116" t="s">
        <v>92</v>
      </c>
      <c r="C34" s="116"/>
      <c r="D34" s="116"/>
      <c r="E34" s="116"/>
      <c r="G34" s="58"/>
    </row>
    <row r="35" spans="2:8" ht="15" customHeight="1" x14ac:dyDescent="0.2">
      <c r="B35" s="116"/>
      <c r="C35" s="116"/>
      <c r="D35" s="116"/>
      <c r="E35" s="116"/>
      <c r="H35" s="52"/>
    </row>
    <row r="36" spans="2:8" x14ac:dyDescent="0.2">
      <c r="B36" s="57"/>
      <c r="C36" s="59"/>
      <c r="D36" s="55"/>
      <c r="E36" s="56"/>
      <c r="G36" s="60"/>
      <c r="H36" s="61"/>
    </row>
    <row r="37" spans="2:8" x14ac:dyDescent="0.2">
      <c r="B37" s="117"/>
      <c r="C37" s="117"/>
      <c r="G37" s="60"/>
      <c r="H37" s="62"/>
    </row>
    <row r="38" spans="2:8" x14ac:dyDescent="0.2">
      <c r="B38" s="118" t="s">
        <v>93</v>
      </c>
      <c r="C38" s="118"/>
      <c r="E38" s="42" t="s">
        <v>94</v>
      </c>
      <c r="H38" s="63"/>
    </row>
  </sheetData>
  <mergeCells count="10">
    <mergeCell ref="B37:C37"/>
    <mergeCell ref="B38:C38"/>
    <mergeCell ref="B4:E4"/>
    <mergeCell ref="B5:B6"/>
    <mergeCell ref="C5:C6"/>
    <mergeCell ref="D5:D6"/>
    <mergeCell ref="E5:E6"/>
    <mergeCell ref="B26:C26"/>
    <mergeCell ref="B27:E27"/>
    <mergeCell ref="B34:E35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34</vt:i4>
      </vt:variant>
      <vt:variant>
        <vt:lpstr>Именованные диапазоны</vt:lpstr>
      </vt:variant>
      <vt:variant>
        <vt:i4>33</vt:i4>
      </vt:variant>
    </vt:vector>
  </HeadingPairs>
  <TitlesOfParts>
    <vt:vector size="67" baseType="lpstr">
      <vt:lpstr>ЖЭУ 3</vt:lpstr>
      <vt:lpstr>расчеты</vt:lpstr>
      <vt:lpstr>Ленина 1</vt:lpstr>
      <vt:lpstr>Ленина 1А</vt:lpstr>
      <vt:lpstr>Ленина 3</vt:lpstr>
      <vt:lpstr>Ленина 3А</vt:lpstr>
      <vt:lpstr>Ленина 3Б</vt:lpstr>
      <vt:lpstr>Мендел 16</vt:lpstr>
      <vt:lpstr>Мендел 16А</vt:lpstr>
      <vt:lpstr>Мендел 18</vt:lpstr>
      <vt:lpstr>Мендел 20</vt:lpstr>
      <vt:lpstr>Мендел 22</vt:lpstr>
      <vt:lpstr>Мендел 24</vt:lpstr>
      <vt:lpstr>Мендел 24а</vt:lpstr>
      <vt:lpstr>мира 2</vt:lpstr>
      <vt:lpstr>мира 2а</vt:lpstr>
      <vt:lpstr>мира 4</vt:lpstr>
      <vt:lpstr>мира 4а</vt:lpstr>
      <vt:lpstr>мира 6</vt:lpstr>
      <vt:lpstr>мира 6а</vt:lpstr>
      <vt:lpstr>мира 8</vt:lpstr>
      <vt:lpstr>мира 8а</vt:lpstr>
      <vt:lpstr>мира 10</vt:lpstr>
      <vt:lpstr>мира 10а</vt:lpstr>
      <vt:lpstr>мира 12</vt:lpstr>
      <vt:lpstr>мира 12а</vt:lpstr>
      <vt:lpstr>мира 12б</vt:lpstr>
      <vt:lpstr>победы 17а</vt:lpstr>
      <vt:lpstr>победы 19а</vt:lpstr>
      <vt:lpstr>победы 21 и вставка</vt:lpstr>
      <vt:lpstr>победы 21а</vt:lpstr>
      <vt:lpstr>победы 23</vt:lpstr>
      <vt:lpstr>победы 25</vt:lpstr>
      <vt:lpstr>победы 21(вставка)</vt:lpstr>
      <vt:lpstr>'ЖЭУ 3'!Область_печати</vt:lpstr>
      <vt:lpstr>'Ленина 1'!Область_печати</vt:lpstr>
      <vt:lpstr>'Ленина 1А'!Область_печати</vt:lpstr>
      <vt:lpstr>'Ленина 3'!Область_печати</vt:lpstr>
      <vt:lpstr>'Ленина 3А'!Область_печати</vt:lpstr>
      <vt:lpstr>'Ленина 3Б'!Область_печати</vt:lpstr>
      <vt:lpstr>'Мендел 16'!Область_печати</vt:lpstr>
      <vt:lpstr>'Мендел 16А'!Область_печати</vt:lpstr>
      <vt:lpstr>'Мендел 18'!Область_печати</vt:lpstr>
      <vt:lpstr>'Мендел 20'!Область_печати</vt:lpstr>
      <vt:lpstr>'Мендел 22'!Область_печати</vt:lpstr>
      <vt:lpstr>'Мендел 24'!Область_печати</vt:lpstr>
      <vt:lpstr>'Мендел 24а'!Область_печати</vt:lpstr>
      <vt:lpstr>'мира 10'!Область_печати</vt:lpstr>
      <vt:lpstr>'мира 10а'!Область_печати</vt:lpstr>
      <vt:lpstr>'мира 12'!Область_печати</vt:lpstr>
      <vt:lpstr>'мира 12а'!Область_печати</vt:lpstr>
      <vt:lpstr>'мира 12б'!Область_печати</vt:lpstr>
      <vt:lpstr>'мира 2'!Область_печати</vt:lpstr>
      <vt:lpstr>'мира 2а'!Область_печати</vt:lpstr>
      <vt:lpstr>'мира 4'!Область_печати</vt:lpstr>
      <vt:lpstr>'мира 4а'!Область_печати</vt:lpstr>
      <vt:lpstr>'мира 6'!Область_печати</vt:lpstr>
      <vt:lpstr>'мира 6а'!Область_печати</vt:lpstr>
      <vt:lpstr>'мира 8'!Область_печати</vt:lpstr>
      <vt:lpstr>'мира 8а'!Область_печати</vt:lpstr>
      <vt:lpstr>'победы 17а'!Область_печати</vt:lpstr>
      <vt:lpstr>'победы 19а'!Область_печати</vt:lpstr>
      <vt:lpstr>'победы 21 и вставка'!Область_печати</vt:lpstr>
      <vt:lpstr>'победы 21(вставка)'!Область_печати</vt:lpstr>
      <vt:lpstr>'победы 21а'!Область_печати</vt:lpstr>
      <vt:lpstr>'победы 23'!Область_печати</vt:lpstr>
      <vt:lpstr>'победы 25'!Область_печати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PEO</cp:lastModifiedBy>
  <cp:lastPrinted>2018-08-10T11:08:09Z</cp:lastPrinted>
  <dcterms:created xsi:type="dcterms:W3CDTF">2018-07-25T05:08:25Z</dcterms:created>
  <dcterms:modified xsi:type="dcterms:W3CDTF">2018-08-10T11:09:05Z</dcterms:modified>
</cp:coreProperties>
</file>